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ard Materials\2019 AUG\"/>
    </mc:Choice>
  </mc:AlternateContent>
  <bookViews>
    <workbookView xWindow="0" yWindow="0" windowWidth="20490" windowHeight="7620" firstSheet="13" activeTab="13"/>
  </bookViews>
  <sheets>
    <sheet name="FY14 sched A" sheetId="1" r:id="rId1"/>
    <sheet name="FY14 excess gifts" sheetId="2" r:id="rId2"/>
    <sheet name="FY15 sched A w Given" sheetId="3" r:id="rId3"/>
    <sheet name="FY15 excess gifts with Given" sheetId="4" r:id="rId4"/>
    <sheet name="FY16 sched A" sheetId="7" r:id="rId5"/>
    <sheet name="FY16 excess gifts" sheetId="8" r:id="rId6"/>
    <sheet name="FY17 sched A" sheetId="9" r:id="rId7"/>
    <sheet name="FY17 excess gifts" sheetId="10" r:id="rId8"/>
    <sheet name="FY18 sched A" sheetId="11" r:id="rId9"/>
    <sheet name="FY18 excess gifts" sheetId="12" r:id="rId10"/>
    <sheet name="FY19 sched A" sheetId="14" r:id="rId11"/>
    <sheet name="FY19 excess gifts" sheetId="15" r:id="rId12"/>
    <sheet name="FY20 sched A" sheetId="16" r:id="rId13"/>
    <sheet name="FY20 excess gifts" sheetId="17" r:id="rId14"/>
    <sheet name="FY21 sched A" sheetId="18" r:id="rId15"/>
    <sheet name="FY21 excess gifts" sheetId="19" r:id="rId16"/>
    <sheet name="FY22 sched A" sheetId="21" r:id="rId17"/>
    <sheet name="FY22 excess gifts" sheetId="22" r:id="rId18"/>
    <sheet name="FY23 sched A" sheetId="23" r:id="rId19"/>
    <sheet name="FY23 excess gifts" sheetId="24" r:id="rId20"/>
    <sheet name="Sheet1" sheetId="25" r:id="rId21"/>
  </sheets>
  <definedNames>
    <definedName name="_xlnm.Print_Area" localSheetId="2">'FY15 sched A w Given'!$A$1:$G$23</definedName>
    <definedName name="_xlnm.Print_Area" localSheetId="5">'FY16 excess gifts'!$A$2:$L$49</definedName>
    <definedName name="_xlnm.Print_Area" localSheetId="7">'FY17 excess gifts'!$A$2:$L$43</definedName>
    <definedName name="_xlnm.Print_Area" localSheetId="6">'FY17 sched A'!$A$1:$H$26</definedName>
    <definedName name="_xlnm.Print_Area" localSheetId="9">'FY18 excess gifts'!$A$2:$L$52</definedName>
    <definedName name="_xlnm.Print_Area" localSheetId="8">'FY18 sched A'!$A$1:$H$27</definedName>
    <definedName name="_xlnm.Print_Area" localSheetId="19">'FY23 excess gifts'!$A$1:$L$41</definedName>
    <definedName name="_xlnm.Print_Area" localSheetId="18">'FY23 sched A'!$B$22:$C$33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7" l="1"/>
  <c r="D8" i="19"/>
  <c r="D9" i="19"/>
  <c r="D8" i="22"/>
  <c r="D9" i="22"/>
  <c r="D8" i="24"/>
  <c r="D9" i="24"/>
  <c r="E7" i="14"/>
  <c r="B7" i="23"/>
  <c r="D8" i="15"/>
  <c r="H8" i="15"/>
  <c r="K7" i="14"/>
  <c r="D9" i="15"/>
  <c r="I9" i="15"/>
  <c r="F7" i="14"/>
  <c r="C7" i="23"/>
  <c r="E7" i="16"/>
  <c r="K7" i="16"/>
  <c r="I9" i="17"/>
  <c r="F7" i="16"/>
  <c r="D7" i="23"/>
  <c r="E7" i="18"/>
  <c r="K7" i="18"/>
  <c r="I9" i="19"/>
  <c r="F7" i="18"/>
  <c r="E7" i="23"/>
  <c r="K7" i="21"/>
  <c r="I9" i="22"/>
  <c r="F7" i="21"/>
  <c r="K7" i="23"/>
  <c r="F7" i="23"/>
  <c r="G7" i="23"/>
  <c r="D6" i="10"/>
  <c r="D6" i="12"/>
  <c r="D5" i="15"/>
  <c r="E5" i="15"/>
  <c r="D7" i="10"/>
  <c r="D7" i="12"/>
  <c r="D6" i="15"/>
  <c r="F6" i="15"/>
  <c r="D8" i="12"/>
  <c r="D7" i="15"/>
  <c r="G7" i="15"/>
  <c r="J9" i="15"/>
  <c r="C13" i="11"/>
  <c r="B13" i="14"/>
  <c r="D7" i="11"/>
  <c r="D13" i="11"/>
  <c r="C13" i="14"/>
  <c r="E7" i="11"/>
  <c r="E13" i="11"/>
  <c r="D13" i="14"/>
  <c r="F13" i="11"/>
  <c r="E13" i="14"/>
  <c r="F13" i="14"/>
  <c r="G13" i="14"/>
  <c r="B15" i="14"/>
  <c r="D15" i="11"/>
  <c r="C15" i="14"/>
  <c r="E15" i="11"/>
  <c r="D15" i="14"/>
  <c r="E15" i="14"/>
  <c r="F15" i="14"/>
  <c r="G15" i="14"/>
  <c r="G17" i="14"/>
  <c r="G18" i="14"/>
  <c r="L2" i="15"/>
  <c r="K9" i="15"/>
  <c r="L9" i="15"/>
  <c r="D18" i="10"/>
  <c r="D18" i="12"/>
  <c r="D12" i="15"/>
  <c r="E12" i="15"/>
  <c r="D19" i="10"/>
  <c r="D19" i="12"/>
  <c r="D13" i="15"/>
  <c r="F13" i="15"/>
  <c r="D20" i="12"/>
  <c r="D14" i="15"/>
  <c r="G14" i="15"/>
  <c r="D21" i="12"/>
  <c r="D15" i="15"/>
  <c r="H15" i="15"/>
  <c r="D16" i="15"/>
  <c r="I16" i="15"/>
  <c r="J16" i="15"/>
  <c r="K16" i="15"/>
  <c r="L16" i="15"/>
  <c r="D24" i="10"/>
  <c r="D25" i="12"/>
  <c r="D19" i="15"/>
  <c r="E19" i="15"/>
  <c r="D25" i="10"/>
  <c r="D26" i="12"/>
  <c r="D20" i="15"/>
  <c r="F20" i="15"/>
  <c r="D27" i="12"/>
  <c r="D21" i="15"/>
  <c r="G21" i="15"/>
  <c r="D22" i="15"/>
  <c r="H22" i="15"/>
  <c r="I23" i="15"/>
  <c r="J23" i="15"/>
  <c r="K23" i="15"/>
  <c r="L23" i="15"/>
  <c r="D30" i="10"/>
  <c r="D31" i="12"/>
  <c r="D25" i="15"/>
  <c r="E25" i="15"/>
  <c r="D31" i="10"/>
  <c r="D32" i="12"/>
  <c r="D26" i="15"/>
  <c r="F26" i="15"/>
  <c r="D33" i="12"/>
  <c r="D27" i="15"/>
  <c r="G27" i="15"/>
  <c r="D28" i="15"/>
  <c r="H28" i="15"/>
  <c r="I29" i="15"/>
  <c r="J29" i="15"/>
  <c r="K29" i="15"/>
  <c r="L29" i="15"/>
  <c r="D36" i="10"/>
  <c r="G36" i="10"/>
  <c r="D37" i="12"/>
  <c r="D31" i="15"/>
  <c r="E31" i="15"/>
  <c r="D37" i="10"/>
  <c r="D38" i="12"/>
  <c r="D32" i="15"/>
  <c r="F32" i="15"/>
  <c r="D39" i="12"/>
  <c r="D33" i="15"/>
  <c r="G33" i="15"/>
  <c r="D34" i="15"/>
  <c r="H34" i="15"/>
  <c r="I35" i="15"/>
  <c r="J35" i="15"/>
  <c r="K35" i="15"/>
  <c r="L35" i="15"/>
  <c r="D37" i="15"/>
  <c r="E37" i="15"/>
  <c r="D38" i="15"/>
  <c r="F38" i="15"/>
  <c r="D39" i="15"/>
  <c r="G39" i="15"/>
  <c r="D40" i="15"/>
  <c r="H40" i="15"/>
  <c r="I41" i="15"/>
  <c r="J41" i="15"/>
  <c r="K41" i="15"/>
  <c r="L41" i="15"/>
  <c r="F43" i="15"/>
  <c r="I44" i="15"/>
  <c r="J44" i="15"/>
  <c r="K44" i="15"/>
  <c r="L44" i="15"/>
  <c r="L47" i="15"/>
  <c r="G9" i="23"/>
  <c r="G11" i="23"/>
  <c r="B13" i="23"/>
  <c r="C13" i="23"/>
  <c r="D13" i="23"/>
  <c r="F13" i="18"/>
  <c r="E13" i="23"/>
  <c r="F13" i="23"/>
  <c r="G13" i="23"/>
  <c r="D15" i="16"/>
  <c r="B15" i="23"/>
  <c r="E15" i="16"/>
  <c r="C15" i="23"/>
  <c r="B15" i="16"/>
  <c r="C15" i="16"/>
  <c r="F15" i="16"/>
  <c r="D15" i="23"/>
  <c r="B15" i="18"/>
  <c r="C15" i="18"/>
  <c r="D15" i="18"/>
  <c r="E15" i="18"/>
  <c r="F15" i="18"/>
  <c r="E15" i="23"/>
  <c r="G15" i="23"/>
  <c r="G17" i="23"/>
  <c r="G20" i="23"/>
  <c r="C22" i="23"/>
  <c r="I15" i="22"/>
  <c r="I21" i="22"/>
  <c r="I27" i="22"/>
  <c r="I33" i="22"/>
  <c r="I39" i="22"/>
  <c r="I42" i="22"/>
  <c r="I45" i="22"/>
  <c r="B51" i="22"/>
  <c r="D6" i="19"/>
  <c r="D5" i="22"/>
  <c r="E5" i="22"/>
  <c r="D7" i="19"/>
  <c r="D6" i="22"/>
  <c r="F6" i="22"/>
  <c r="D7" i="22"/>
  <c r="G7" i="22"/>
  <c r="H8" i="22"/>
  <c r="J9" i="22"/>
  <c r="D13" i="17"/>
  <c r="D11" i="22"/>
  <c r="E11" i="22"/>
  <c r="D14" i="17"/>
  <c r="D12" i="22"/>
  <c r="F12" i="22"/>
  <c r="D13" i="22"/>
  <c r="G13" i="22"/>
  <c r="D14" i="22"/>
  <c r="H14" i="22"/>
  <c r="J15" i="22"/>
  <c r="D19" i="17"/>
  <c r="D18" i="19"/>
  <c r="D17" i="22"/>
  <c r="E17" i="22"/>
  <c r="D20" i="17"/>
  <c r="D19" i="19"/>
  <c r="D18" i="22"/>
  <c r="F18" i="22"/>
  <c r="D20" i="19"/>
  <c r="D19" i="22"/>
  <c r="G19" i="22"/>
  <c r="D20" i="22"/>
  <c r="H20" i="22"/>
  <c r="J21" i="22"/>
  <c r="D25" i="17"/>
  <c r="D24" i="19"/>
  <c r="D23" i="22"/>
  <c r="E23" i="22"/>
  <c r="D26" i="17"/>
  <c r="D25" i="19"/>
  <c r="D24" i="22"/>
  <c r="F24" i="22"/>
  <c r="D26" i="19"/>
  <c r="D25" i="22"/>
  <c r="G25" i="22"/>
  <c r="D26" i="22"/>
  <c r="H26" i="22"/>
  <c r="J27" i="22"/>
  <c r="D31" i="17"/>
  <c r="D30" i="19"/>
  <c r="D29" i="22"/>
  <c r="E29" i="22"/>
  <c r="D32" i="17"/>
  <c r="D31" i="19"/>
  <c r="D30" i="22"/>
  <c r="F30" i="22"/>
  <c r="D32" i="19"/>
  <c r="D31" i="22"/>
  <c r="G31" i="22"/>
  <c r="D32" i="22"/>
  <c r="H32" i="22"/>
  <c r="J33" i="22"/>
  <c r="D37" i="17"/>
  <c r="D36" i="19"/>
  <c r="D35" i="22"/>
  <c r="E35" i="22"/>
  <c r="D38" i="17"/>
  <c r="D37" i="19"/>
  <c r="D36" i="22"/>
  <c r="F36" i="22"/>
  <c r="D38" i="19"/>
  <c r="D37" i="22"/>
  <c r="G37" i="22"/>
  <c r="D38" i="22"/>
  <c r="H38" i="22"/>
  <c r="J39" i="22"/>
  <c r="D42" i="17"/>
  <c r="D41" i="19"/>
  <c r="D41" i="22"/>
  <c r="F41" i="22"/>
  <c r="J42" i="22"/>
  <c r="J45" i="22"/>
  <c r="D35" i="24"/>
  <c r="E35" i="24"/>
  <c r="H36" i="24"/>
  <c r="J37" i="24"/>
  <c r="I9" i="24"/>
  <c r="I15" i="24"/>
  <c r="I21" i="24"/>
  <c r="I27" i="24"/>
  <c r="I33" i="24"/>
  <c r="I40" i="24"/>
  <c r="B46" i="24"/>
  <c r="E45" i="22"/>
  <c r="B45" i="24"/>
  <c r="H8" i="24"/>
  <c r="D14" i="24"/>
  <c r="H14" i="24"/>
  <c r="D20" i="24"/>
  <c r="H20" i="24"/>
  <c r="D26" i="24"/>
  <c r="H26" i="24"/>
  <c r="D32" i="24"/>
  <c r="H32" i="24"/>
  <c r="H40" i="24"/>
  <c r="H41" i="24"/>
  <c r="B15" i="21"/>
  <c r="C15" i="21"/>
  <c r="D15" i="21"/>
  <c r="E15" i="21"/>
  <c r="F15" i="21"/>
  <c r="D30" i="24"/>
  <c r="D31" i="24"/>
  <c r="G31" i="24"/>
  <c r="D29" i="24"/>
  <c r="E29" i="24"/>
  <c r="D5" i="19"/>
  <c r="E5" i="19"/>
  <c r="D12" i="17"/>
  <c r="D11" i="19"/>
  <c r="E11" i="19"/>
  <c r="D18" i="17"/>
  <c r="D17" i="19"/>
  <c r="E17" i="19"/>
  <c r="D24" i="17"/>
  <c r="D23" i="19"/>
  <c r="E23" i="19"/>
  <c r="D30" i="17"/>
  <c r="D29" i="19"/>
  <c r="E29" i="19"/>
  <c r="D36" i="17"/>
  <c r="D35" i="19"/>
  <c r="E35" i="19"/>
  <c r="E45" i="19"/>
  <c r="D6" i="17"/>
  <c r="F6" i="17"/>
  <c r="F12" i="17"/>
  <c r="F18" i="17"/>
  <c r="F24" i="17"/>
  <c r="F30" i="17"/>
  <c r="F36" i="17"/>
  <c r="F45" i="17"/>
  <c r="E46" i="19"/>
  <c r="F36" i="19"/>
  <c r="G37" i="19"/>
  <c r="H38" i="19"/>
  <c r="I39" i="19"/>
  <c r="J39" i="19"/>
  <c r="D35" i="17"/>
  <c r="E35" i="17"/>
  <c r="G37" i="17"/>
  <c r="H38" i="17"/>
  <c r="I39" i="17"/>
  <c r="J39" i="17"/>
  <c r="D5" i="10"/>
  <c r="D5" i="12"/>
  <c r="E5" i="12"/>
  <c r="D11" i="10"/>
  <c r="D11" i="12"/>
  <c r="E11" i="12"/>
  <c r="D17" i="10"/>
  <c r="D17" i="12"/>
  <c r="E17" i="12"/>
  <c r="D23" i="10"/>
  <c r="D24" i="12"/>
  <c r="E24" i="12"/>
  <c r="D29" i="10"/>
  <c r="D30" i="12"/>
  <c r="E30" i="12"/>
  <c r="D35" i="10"/>
  <c r="D36" i="12"/>
  <c r="E36" i="12"/>
  <c r="E42" i="12"/>
  <c r="E52" i="12"/>
  <c r="B54" i="15"/>
  <c r="F6" i="12"/>
  <c r="D12" i="10"/>
  <c r="D12" i="12"/>
  <c r="F12" i="12"/>
  <c r="F18" i="12"/>
  <c r="F25" i="12"/>
  <c r="F31" i="12"/>
  <c r="F37" i="12"/>
  <c r="F43" i="12"/>
  <c r="F52" i="12"/>
  <c r="G6" i="10"/>
  <c r="G18" i="10"/>
  <c r="G24" i="10"/>
  <c r="G30" i="10"/>
  <c r="G43" i="10"/>
  <c r="F53" i="12"/>
  <c r="G7" i="12"/>
  <c r="D13" i="10"/>
  <c r="D13" i="12"/>
  <c r="G13" i="12"/>
  <c r="G19" i="12"/>
  <c r="G26" i="12"/>
  <c r="G32" i="12"/>
  <c r="G38" i="12"/>
  <c r="G44" i="12"/>
  <c r="G52" i="12"/>
  <c r="H7" i="10"/>
  <c r="H13" i="10"/>
  <c r="H19" i="10"/>
  <c r="H25" i="10"/>
  <c r="H31" i="10"/>
  <c r="H37" i="10"/>
  <c r="H43" i="10"/>
  <c r="G53" i="12"/>
  <c r="H8" i="12"/>
  <c r="D14" i="12"/>
  <c r="H14" i="12"/>
  <c r="H20" i="12"/>
  <c r="H27" i="12"/>
  <c r="H33" i="12"/>
  <c r="H39" i="12"/>
  <c r="H45" i="12"/>
  <c r="H52" i="12"/>
  <c r="I8" i="10"/>
  <c r="I14" i="10"/>
  <c r="I20" i="10"/>
  <c r="I26" i="10"/>
  <c r="I32" i="10"/>
  <c r="I38" i="10"/>
  <c r="I43" i="10"/>
  <c r="H53" i="12"/>
  <c r="F5" i="10"/>
  <c r="F11" i="10"/>
  <c r="F17" i="10"/>
  <c r="F23" i="10"/>
  <c r="F29" i="10"/>
  <c r="F35" i="10"/>
  <c r="F43" i="10"/>
  <c r="E53" i="12"/>
  <c r="D4" i="10"/>
  <c r="E4" i="10"/>
  <c r="D10" i="10"/>
  <c r="E10" i="10"/>
  <c r="D16" i="10"/>
  <c r="E16" i="10"/>
  <c r="D22" i="10"/>
  <c r="E22" i="10"/>
  <c r="D28" i="10"/>
  <c r="E28" i="10"/>
  <c r="D34" i="10"/>
  <c r="E34" i="10"/>
  <c r="E43" i="10"/>
  <c r="B61" i="12"/>
  <c r="J8" i="10"/>
  <c r="J14" i="10"/>
  <c r="J20" i="10"/>
  <c r="J26" i="10"/>
  <c r="J32" i="10"/>
  <c r="J38" i="10"/>
  <c r="J40" i="10"/>
  <c r="J43" i="10"/>
  <c r="B60" i="12"/>
  <c r="F5" i="8"/>
  <c r="F10" i="8"/>
  <c r="F16" i="8"/>
  <c r="F22" i="8"/>
  <c r="F28" i="8"/>
  <c r="F37" i="8"/>
  <c r="F45" i="8"/>
  <c r="F49" i="8"/>
  <c r="E45" i="10"/>
  <c r="E4" i="4"/>
  <c r="F5" i="4"/>
  <c r="G6" i="4"/>
  <c r="H7" i="4"/>
  <c r="J8" i="4"/>
  <c r="E10" i="4"/>
  <c r="G11" i="4"/>
  <c r="H12" i="4"/>
  <c r="J13" i="4"/>
  <c r="E15" i="4"/>
  <c r="F16" i="4"/>
  <c r="G17" i="4"/>
  <c r="H18" i="4"/>
  <c r="J19" i="4"/>
  <c r="E21" i="4"/>
  <c r="F22" i="4"/>
  <c r="G23" i="4"/>
  <c r="H24" i="4"/>
  <c r="I25" i="4"/>
  <c r="J25" i="4"/>
  <c r="E27" i="4"/>
  <c r="F28" i="4"/>
  <c r="G29" i="4"/>
  <c r="H30" i="4"/>
  <c r="J31" i="4"/>
  <c r="E33" i="4"/>
  <c r="F34" i="4"/>
  <c r="J35" i="4"/>
  <c r="E37" i="4"/>
  <c r="F38" i="4"/>
  <c r="G39" i="4"/>
  <c r="H40" i="4"/>
  <c r="I41" i="4"/>
  <c r="J41" i="4"/>
  <c r="G43" i="4"/>
  <c r="H44" i="4"/>
  <c r="J44" i="4"/>
  <c r="J47" i="4"/>
  <c r="B53" i="8"/>
  <c r="E47" i="4"/>
  <c r="B54" i="8"/>
  <c r="I8" i="8"/>
  <c r="I13" i="8"/>
  <c r="I19" i="8"/>
  <c r="I25" i="8"/>
  <c r="I31" i="8"/>
  <c r="I40" i="8"/>
  <c r="I49" i="8"/>
  <c r="B55" i="8"/>
  <c r="B56" i="8"/>
  <c r="E4" i="8"/>
  <c r="G6" i="8"/>
  <c r="J8" i="8"/>
  <c r="G11" i="8"/>
  <c r="J13" i="8"/>
  <c r="E15" i="8"/>
  <c r="G17" i="8"/>
  <c r="H18" i="8"/>
  <c r="J19" i="8"/>
  <c r="E21" i="8"/>
  <c r="G23" i="8"/>
  <c r="H24" i="8"/>
  <c r="J25" i="8"/>
  <c r="E27" i="8"/>
  <c r="G29" i="8"/>
  <c r="H30" i="8"/>
  <c r="J31" i="8"/>
  <c r="E33" i="8"/>
  <c r="J34" i="8"/>
  <c r="E36" i="8"/>
  <c r="G38" i="8"/>
  <c r="H39" i="8"/>
  <c r="J40" i="8"/>
  <c r="J42" i="8"/>
  <c r="G46" i="8"/>
  <c r="J46" i="8"/>
  <c r="J49" i="8"/>
  <c r="B57" i="8"/>
  <c r="H49" i="8"/>
  <c r="G45" i="10"/>
  <c r="B50" i="10"/>
  <c r="E49" i="8"/>
  <c r="B51" i="10"/>
  <c r="B52" i="10"/>
  <c r="B53" i="10"/>
  <c r="B54" i="10"/>
  <c r="H45" i="10"/>
  <c r="G49" i="8"/>
  <c r="F45" i="10"/>
  <c r="D25" i="24"/>
  <c r="G25" i="24"/>
  <c r="D19" i="24"/>
  <c r="G19" i="24"/>
  <c r="D13" i="24"/>
  <c r="F30" i="24"/>
  <c r="G13" i="24"/>
  <c r="C32" i="23"/>
  <c r="C31" i="23"/>
  <c r="C30" i="23"/>
  <c r="G7" i="7"/>
  <c r="B13" i="7"/>
  <c r="C13" i="7"/>
  <c r="D13" i="7"/>
  <c r="E13" i="7"/>
  <c r="F13" i="7"/>
  <c r="G17" i="7"/>
  <c r="G18" i="7"/>
  <c r="L2" i="8"/>
  <c r="K8" i="8"/>
  <c r="L8" i="8"/>
  <c r="K13" i="8"/>
  <c r="L13" i="8"/>
  <c r="K19" i="8"/>
  <c r="L19" i="8"/>
  <c r="K25" i="8"/>
  <c r="L25" i="8"/>
  <c r="K31" i="8"/>
  <c r="L31" i="8"/>
  <c r="K34" i="8"/>
  <c r="L34" i="8"/>
  <c r="K40" i="8"/>
  <c r="L40" i="8"/>
  <c r="K42" i="8"/>
  <c r="L42" i="8"/>
  <c r="K46" i="8"/>
  <c r="L46" i="8"/>
  <c r="L49" i="8"/>
  <c r="G9" i="7"/>
  <c r="G11" i="7"/>
  <c r="G20" i="7"/>
  <c r="C23" i="11"/>
  <c r="C29" i="23"/>
  <c r="E7" i="9"/>
  <c r="G7" i="9"/>
  <c r="G9" i="9"/>
  <c r="G11" i="9"/>
  <c r="B13" i="9"/>
  <c r="C13" i="9"/>
  <c r="D13" i="9"/>
  <c r="E13" i="9"/>
  <c r="F13" i="9"/>
  <c r="E15" i="9"/>
  <c r="G17" i="9"/>
  <c r="G20" i="9"/>
  <c r="C22" i="11"/>
  <c r="C28" i="23"/>
  <c r="J48" i="12"/>
  <c r="J34" i="24"/>
  <c r="C31" i="21"/>
  <c r="C30" i="21"/>
  <c r="C29" i="21"/>
  <c r="C27" i="21"/>
  <c r="I33" i="17"/>
  <c r="I46" i="12"/>
  <c r="J46" i="12"/>
  <c r="L2" i="10"/>
  <c r="D12" i="24"/>
  <c r="F12" i="24"/>
  <c r="C31" i="18"/>
  <c r="C30" i="18"/>
  <c r="C29" i="18"/>
  <c r="I33" i="19"/>
  <c r="I27" i="19"/>
  <c r="I21" i="19"/>
  <c r="I15" i="19"/>
  <c r="D14" i="19"/>
  <c r="G41" i="19"/>
  <c r="J41" i="19"/>
  <c r="H42" i="17"/>
  <c r="D24" i="24"/>
  <c r="F24" i="24"/>
  <c r="D18" i="24"/>
  <c r="F18" i="24"/>
  <c r="H32" i="19"/>
  <c r="H26" i="19"/>
  <c r="H20" i="19"/>
  <c r="H14" i="19"/>
  <c r="D41" i="17"/>
  <c r="E41" i="17"/>
  <c r="J42" i="17"/>
  <c r="I27" i="17"/>
  <c r="I21" i="17"/>
  <c r="I15" i="17"/>
  <c r="C29" i="16"/>
  <c r="C28" i="16"/>
  <c r="C27" i="16"/>
  <c r="I28" i="12"/>
  <c r="C26" i="14"/>
  <c r="C27" i="14"/>
  <c r="C28" i="14"/>
  <c r="D13" i="19"/>
  <c r="G13" i="19"/>
  <c r="G31" i="19"/>
  <c r="G15" i="21"/>
  <c r="D7" i="17"/>
  <c r="H14" i="17"/>
  <c r="H32" i="17"/>
  <c r="H26" i="17"/>
  <c r="H20" i="17"/>
  <c r="G31" i="17"/>
  <c r="G25" i="17"/>
  <c r="G19" i="17"/>
  <c r="G13" i="17"/>
  <c r="D12" i="19"/>
  <c r="G19" i="19"/>
  <c r="D11" i="24"/>
  <c r="E11" i="24"/>
  <c r="J16" i="24"/>
  <c r="F24" i="19"/>
  <c r="F18" i="19"/>
  <c r="G25" i="19"/>
  <c r="F30" i="19"/>
  <c r="G7" i="17"/>
  <c r="G45" i="17"/>
  <c r="D6" i="24"/>
  <c r="F6" i="24"/>
  <c r="F40" i="24"/>
  <c r="F6" i="19"/>
  <c r="F12" i="19"/>
  <c r="F45" i="19"/>
  <c r="F46" i="19"/>
  <c r="D23" i="24"/>
  <c r="E23" i="24"/>
  <c r="J28" i="24"/>
  <c r="D17" i="24"/>
  <c r="E17" i="24"/>
  <c r="J22" i="24"/>
  <c r="G45" i="22"/>
  <c r="H8" i="19"/>
  <c r="H45" i="19"/>
  <c r="D8" i="17"/>
  <c r="H8" i="17"/>
  <c r="H45" i="17"/>
  <c r="G46" i="22"/>
  <c r="F41" i="24"/>
  <c r="E46" i="22"/>
  <c r="B50" i="17"/>
  <c r="I45" i="17"/>
  <c r="H46" i="19"/>
  <c r="G7" i="19"/>
  <c r="G45" i="19"/>
  <c r="G46" i="19"/>
  <c r="D5" i="24"/>
  <c r="I47" i="15"/>
  <c r="B55" i="15"/>
  <c r="B7" i="14"/>
  <c r="H47" i="15"/>
  <c r="E5" i="24"/>
  <c r="E40" i="24"/>
  <c r="F45" i="22"/>
  <c r="E41" i="24"/>
  <c r="F46" i="22"/>
  <c r="D7" i="14"/>
  <c r="E47" i="15"/>
  <c r="E48" i="15"/>
  <c r="B51" i="19"/>
  <c r="I45" i="19"/>
  <c r="B49" i="17"/>
  <c r="D7" i="24"/>
  <c r="D45" i="22"/>
  <c r="B7" i="18"/>
  <c r="C7" i="16"/>
  <c r="G15" i="18"/>
  <c r="C7" i="14"/>
  <c r="D5" i="17"/>
  <c r="D11" i="17"/>
  <c r="E11" i="17"/>
  <c r="D17" i="17"/>
  <c r="E17" i="17"/>
  <c r="D23" i="17"/>
  <c r="E23" i="17"/>
  <c r="D29" i="17"/>
  <c r="E29" i="17"/>
  <c r="G15" i="11"/>
  <c r="D47" i="15"/>
  <c r="I40" i="12"/>
  <c r="I34" i="12"/>
  <c r="I15" i="12"/>
  <c r="I21" i="12"/>
  <c r="I9" i="12"/>
  <c r="I52" i="12"/>
  <c r="B62" i="12"/>
  <c r="D52" i="12"/>
  <c r="J28" i="12"/>
  <c r="J15" i="12"/>
  <c r="B13" i="11"/>
  <c r="G15" i="7"/>
  <c r="G15" i="9"/>
  <c r="D43" i="10"/>
  <c r="H48" i="15"/>
  <c r="H45" i="22"/>
  <c r="H46" i="22"/>
  <c r="G47" i="15"/>
  <c r="G48" i="15"/>
  <c r="F47" i="15"/>
  <c r="F48" i="15"/>
  <c r="G7" i="24"/>
  <c r="D40" i="24"/>
  <c r="J40" i="12"/>
  <c r="B7" i="21"/>
  <c r="B13" i="18"/>
  <c r="C13" i="16"/>
  <c r="E5" i="17"/>
  <c r="E45" i="17"/>
  <c r="D45" i="17"/>
  <c r="B7" i="16"/>
  <c r="C7" i="18"/>
  <c r="D7" i="16"/>
  <c r="J33" i="19"/>
  <c r="J33" i="17"/>
  <c r="G15" i="16"/>
  <c r="J27" i="19"/>
  <c r="J27" i="17"/>
  <c r="G7" i="11"/>
  <c r="J21" i="19"/>
  <c r="J21" i="17"/>
  <c r="B13" i="16"/>
  <c r="J15" i="17"/>
  <c r="J15" i="19"/>
  <c r="J9" i="12"/>
  <c r="J21" i="12"/>
  <c r="J34" i="12"/>
  <c r="J52" i="12"/>
  <c r="G13" i="9"/>
  <c r="G18" i="9"/>
  <c r="D49" i="8"/>
  <c r="B44" i="24"/>
  <c r="B47" i="24"/>
  <c r="J54" i="12"/>
  <c r="B53" i="15"/>
  <c r="B56" i="15"/>
  <c r="J9" i="24"/>
  <c r="J40" i="24"/>
  <c r="G40" i="24"/>
  <c r="G41" i="24"/>
  <c r="J9" i="19"/>
  <c r="J45" i="19"/>
  <c r="B49" i="22"/>
  <c r="B50" i="22"/>
  <c r="B52" i="22"/>
  <c r="J9" i="17"/>
  <c r="J45" i="17"/>
  <c r="B49" i="19"/>
  <c r="B50" i="19"/>
  <c r="J47" i="15"/>
  <c r="G13" i="11"/>
  <c r="B13" i="21"/>
  <c r="G17" i="11"/>
  <c r="G18" i="11"/>
  <c r="L2" i="12"/>
  <c r="G13" i="7"/>
  <c r="C13" i="18"/>
  <c r="D13" i="16"/>
  <c r="D45" i="19"/>
  <c r="K32" i="10"/>
  <c r="L32" i="10"/>
  <c r="B63" i="12"/>
  <c r="B64" i="12"/>
  <c r="B53" i="22"/>
  <c r="B48" i="24"/>
  <c r="B48" i="17"/>
  <c r="B51" i="17"/>
  <c r="B52" i="17"/>
  <c r="B57" i="15"/>
  <c r="B52" i="19"/>
  <c r="B53" i="19"/>
  <c r="K9" i="12"/>
  <c r="L9" i="12"/>
  <c r="K34" i="12"/>
  <c r="L34" i="12"/>
  <c r="K46" i="12"/>
  <c r="L46" i="12"/>
  <c r="K28" i="12"/>
  <c r="L28" i="12"/>
  <c r="K15" i="12"/>
  <c r="L15" i="12"/>
  <c r="K48" i="12"/>
  <c r="L48" i="12"/>
  <c r="K40" i="12"/>
  <c r="L40" i="12"/>
  <c r="G7" i="14"/>
  <c r="C7" i="21"/>
  <c r="C13" i="21"/>
  <c r="D7" i="18"/>
  <c r="D13" i="18"/>
  <c r="K21" i="12"/>
  <c r="L21" i="12"/>
  <c r="K20" i="10"/>
  <c r="L20" i="10"/>
  <c r="K8" i="10"/>
  <c r="L8" i="10"/>
  <c r="K38" i="10"/>
  <c r="L38" i="10"/>
  <c r="K40" i="10"/>
  <c r="L40" i="10"/>
  <c r="K26" i="10"/>
  <c r="L26" i="10"/>
  <c r="K14" i="10"/>
  <c r="L14" i="10"/>
  <c r="I47" i="4"/>
  <c r="D8" i="4"/>
  <c r="D47" i="4"/>
  <c r="G15" i="3"/>
  <c r="C13" i="3"/>
  <c r="B13" i="3"/>
  <c r="F13" i="3"/>
  <c r="E13" i="3"/>
  <c r="D13" i="3"/>
  <c r="G7" i="3"/>
  <c r="I50" i="2"/>
  <c r="H49" i="2"/>
  <c r="J50" i="2"/>
  <c r="H39" i="2"/>
  <c r="E14" i="2"/>
  <c r="D52" i="2"/>
  <c r="I46" i="2"/>
  <c r="H45" i="2"/>
  <c r="G44" i="2"/>
  <c r="F43" i="2"/>
  <c r="E42" i="2"/>
  <c r="G38" i="2"/>
  <c r="F37" i="2"/>
  <c r="E36" i="2"/>
  <c r="G33" i="2"/>
  <c r="F32" i="2"/>
  <c r="E31" i="2"/>
  <c r="I29" i="2"/>
  <c r="H28" i="2"/>
  <c r="G27" i="2"/>
  <c r="F26" i="2"/>
  <c r="E25" i="2"/>
  <c r="I23" i="2"/>
  <c r="H22" i="2"/>
  <c r="G21" i="2"/>
  <c r="F20" i="2"/>
  <c r="I18" i="2"/>
  <c r="H17" i="2"/>
  <c r="G16" i="2"/>
  <c r="F15" i="2"/>
  <c r="I12" i="2"/>
  <c r="H11" i="2"/>
  <c r="F10" i="2"/>
  <c r="I8" i="2"/>
  <c r="H7" i="2"/>
  <c r="G6" i="2"/>
  <c r="F5" i="2"/>
  <c r="G7" i="1"/>
  <c r="G11" i="1"/>
  <c r="B13" i="1"/>
  <c r="C13" i="1"/>
  <c r="D13" i="1"/>
  <c r="E13" i="1"/>
  <c r="F13" i="1"/>
  <c r="G15" i="1"/>
  <c r="L52" i="12"/>
  <c r="K52" i="12"/>
  <c r="D7" i="21"/>
  <c r="D13" i="21"/>
  <c r="G13" i="1"/>
  <c r="L43" i="10"/>
  <c r="L47" i="10"/>
  <c r="K43" i="10"/>
  <c r="F47" i="4"/>
  <c r="H47" i="4"/>
  <c r="G47" i="4"/>
  <c r="G13" i="3"/>
  <c r="G17" i="3"/>
  <c r="G18" i="3"/>
  <c r="L2" i="4"/>
  <c r="K44" i="4"/>
  <c r="L44" i="4"/>
  <c r="J18" i="2"/>
  <c r="J29" i="2"/>
  <c r="G52" i="2"/>
  <c r="J12" i="2"/>
  <c r="I52" i="2"/>
  <c r="J23" i="2"/>
  <c r="J46" i="2"/>
  <c r="H52" i="2"/>
  <c r="F52" i="2"/>
  <c r="J34" i="2"/>
  <c r="J40" i="2"/>
  <c r="E4" i="2"/>
  <c r="J8" i="2"/>
  <c r="G17" i="1"/>
  <c r="F13" i="16"/>
  <c r="G7" i="16"/>
  <c r="G9" i="11"/>
  <c r="G11" i="11"/>
  <c r="L58" i="12"/>
  <c r="K25" i="4"/>
  <c r="L25" i="4"/>
  <c r="L2" i="2"/>
  <c r="K34" i="2"/>
  <c r="L34" i="2"/>
  <c r="K23" i="2"/>
  <c r="L23" i="2"/>
  <c r="K31" i="4"/>
  <c r="L31" i="4"/>
  <c r="K19" i="4"/>
  <c r="L19" i="4"/>
  <c r="K47" i="15"/>
  <c r="K41" i="4"/>
  <c r="L41" i="4"/>
  <c r="K46" i="2"/>
  <c r="L46" i="2"/>
  <c r="K13" i="4"/>
  <c r="L13" i="4"/>
  <c r="G18" i="1"/>
  <c r="K50" i="2"/>
  <c r="L50" i="2"/>
  <c r="K12" i="2"/>
  <c r="L12" i="2"/>
  <c r="K35" i="4"/>
  <c r="L35" i="4"/>
  <c r="K49" i="8"/>
  <c r="K8" i="4"/>
  <c r="G20" i="1"/>
  <c r="E52" i="2"/>
  <c r="E7" i="21"/>
  <c r="G7" i="18"/>
  <c r="E13" i="18"/>
  <c r="G13" i="18"/>
  <c r="G17" i="18"/>
  <c r="G18" i="18"/>
  <c r="G9" i="21"/>
  <c r="G20" i="11"/>
  <c r="C23" i="14"/>
  <c r="E13" i="21"/>
  <c r="K18" i="2"/>
  <c r="L18" i="2"/>
  <c r="G9" i="18"/>
  <c r="G11" i="18"/>
  <c r="G9" i="16"/>
  <c r="G9" i="14"/>
  <c r="G11" i="14"/>
  <c r="G20" i="14"/>
  <c r="C23" i="16"/>
  <c r="C26" i="23"/>
  <c r="C27" i="18"/>
  <c r="C24" i="14"/>
  <c r="C25" i="16"/>
  <c r="K29" i="2"/>
  <c r="L29" i="2"/>
  <c r="K40" i="2"/>
  <c r="L40" i="2"/>
  <c r="C28" i="21"/>
  <c r="C22" i="9"/>
  <c r="K47" i="4"/>
  <c r="L8" i="4"/>
  <c r="L47" i="4"/>
  <c r="G9" i="3"/>
  <c r="G11" i="3"/>
  <c r="G20" i="3"/>
  <c r="D22" i="7"/>
  <c r="K8" i="2"/>
  <c r="J52" i="2"/>
  <c r="F13" i="21"/>
  <c r="G13" i="21"/>
  <c r="C26" i="21"/>
  <c r="C27" i="23"/>
  <c r="C26" i="18"/>
  <c r="C24" i="16"/>
  <c r="G20" i="18"/>
  <c r="C25" i="18"/>
  <c r="C25" i="21"/>
  <c r="L2" i="19"/>
  <c r="K39" i="19"/>
  <c r="L39" i="19"/>
  <c r="C28" i="18"/>
  <c r="C26" i="16"/>
  <c r="C25" i="14"/>
  <c r="K52" i="2"/>
  <c r="L8" i="2"/>
  <c r="L52" i="2"/>
  <c r="G18" i="23"/>
  <c r="L2" i="24"/>
  <c r="C23" i="21"/>
  <c r="C24" i="23"/>
  <c r="K15" i="19"/>
  <c r="L15" i="19"/>
  <c r="K41" i="19"/>
  <c r="L41" i="19"/>
  <c r="K27" i="19"/>
  <c r="L27" i="19"/>
  <c r="K21" i="19"/>
  <c r="L21" i="19"/>
  <c r="K33" i="19"/>
  <c r="L33" i="19"/>
  <c r="K9" i="19"/>
  <c r="E13" i="16"/>
  <c r="K22" i="24"/>
  <c r="L22" i="24"/>
  <c r="K37" i="24"/>
  <c r="L37" i="24"/>
  <c r="K16" i="24"/>
  <c r="L16" i="24"/>
  <c r="K34" i="24"/>
  <c r="L34" i="24"/>
  <c r="K9" i="24"/>
  <c r="K28" i="24"/>
  <c r="L28" i="24"/>
  <c r="L9" i="19"/>
  <c r="L45" i="19"/>
  <c r="K45" i="19"/>
  <c r="G13" i="16"/>
  <c r="G17" i="16"/>
  <c r="G18" i="16"/>
  <c r="L2" i="17"/>
  <c r="G11" i="16"/>
  <c r="L9" i="24"/>
  <c r="L40" i="24"/>
  <c r="K40" i="24"/>
  <c r="K33" i="17"/>
  <c r="L33" i="17"/>
  <c r="K39" i="17"/>
  <c r="L39" i="17"/>
  <c r="K21" i="17"/>
  <c r="L21" i="17"/>
  <c r="K15" i="17"/>
  <c r="L15" i="17"/>
  <c r="K9" i="17"/>
  <c r="L9" i="17"/>
  <c r="G20" i="16"/>
  <c r="C25" i="23"/>
  <c r="K42" i="17"/>
  <c r="L42" i="17"/>
  <c r="K27" i="17"/>
  <c r="L27" i="17"/>
  <c r="C24" i="18"/>
  <c r="C24" i="21"/>
  <c r="L45" i="17"/>
  <c r="K45" i="17"/>
  <c r="G17" i="21"/>
  <c r="G18" i="21"/>
  <c r="L2" i="22"/>
  <c r="K9" i="22"/>
  <c r="L9" i="22"/>
  <c r="K42" i="22"/>
  <c r="L42" i="22"/>
  <c r="K39" i="22"/>
  <c r="L39" i="22"/>
  <c r="K21" i="22"/>
  <c r="L21" i="22"/>
  <c r="K15" i="22"/>
  <c r="L15" i="22"/>
  <c r="K27" i="22"/>
  <c r="L27" i="22"/>
  <c r="K33" i="22"/>
  <c r="L33" i="22"/>
  <c r="G7" i="21"/>
  <c r="G11" i="21"/>
  <c r="G20" i="21"/>
  <c r="C23" i="23"/>
  <c r="K45" i="22"/>
  <c r="L45" i="22"/>
</calcChain>
</file>

<file path=xl/sharedStrings.xml><?xml version="1.0" encoding="utf-8"?>
<sst xmlns="http://schemas.openxmlformats.org/spreadsheetml/2006/main" count="1036" uniqueCount="114">
  <si>
    <t>School for Advanced Research</t>
  </si>
  <si>
    <t xml:space="preserve">FY14 Public Support </t>
  </si>
  <si>
    <t>Total</t>
  </si>
  <si>
    <t>FY10</t>
  </si>
  <si>
    <t>FY11</t>
  </si>
  <si>
    <t>FY12</t>
  </si>
  <si>
    <t>FY13</t>
  </si>
  <si>
    <t>FY14</t>
  </si>
  <si>
    <t>gifts line 1</t>
  </si>
  <si>
    <t>line 5</t>
  </si>
  <si>
    <t>line 6 public support</t>
  </si>
  <si>
    <t>line 7</t>
  </si>
  <si>
    <t>interest line 8</t>
  </si>
  <si>
    <t>line 11</t>
  </si>
  <si>
    <t>ties to FY14 return</t>
  </si>
  <si>
    <t>2% of line 11</t>
  </si>
  <si>
    <t>public support percent</t>
  </si>
  <si>
    <t>FY13 % was</t>
  </si>
  <si>
    <t>Name</t>
  </si>
  <si>
    <t>Gift Date</t>
  </si>
  <si>
    <t>Gift Amount</t>
  </si>
  <si>
    <t>FY2010</t>
  </si>
  <si>
    <t>FY2011</t>
  </si>
  <si>
    <t>FY2012</t>
  </si>
  <si>
    <t>FY2013</t>
  </si>
  <si>
    <t>Total Amount of Gifts</t>
  </si>
  <si>
    <t>2% of 11 (f)=</t>
  </si>
  <si>
    <t>Anne Ray Charitable Trust</t>
  </si>
  <si>
    <t>Davis Given</t>
  </si>
  <si>
    <t>Paloheimo Foundation</t>
  </si>
  <si>
    <t>Vera R. Campbell Foundation</t>
  </si>
  <si>
    <t>Eric S. Dobkin</t>
  </si>
  <si>
    <t>Margaret A. Cargill Foundation</t>
  </si>
  <si>
    <t>Robert B. Knutson</t>
  </si>
  <si>
    <t>Susan L. Foote</t>
  </si>
  <si>
    <t>Heritage Mark Foundation</t>
  </si>
  <si>
    <t>FY15 Public Support Projection</t>
  </si>
  <si>
    <t>FY15</t>
  </si>
  <si>
    <t>ties to 990 as filed</t>
  </si>
  <si>
    <t>FY14 % was</t>
  </si>
  <si>
    <t>FY16 Public Support ACTUAL</t>
  </si>
  <si>
    <t>FY16</t>
  </si>
  <si>
    <t>FY15 % was</t>
  </si>
  <si>
    <t>Mellon Foundation</t>
  </si>
  <si>
    <t>check</t>
  </si>
  <si>
    <t>FY15 excess gifts</t>
  </si>
  <si>
    <t>less FY11 excess gifts</t>
  </si>
  <si>
    <t>plus FY16 excess gifts</t>
  </si>
  <si>
    <t>FY17 Public Support ACTUAL</t>
  </si>
  <si>
    <t>FY17</t>
  </si>
  <si>
    <t>FY16 % was</t>
  </si>
  <si>
    <t>per sched A</t>
  </si>
  <si>
    <t>Heritage Mark drops off</t>
  </si>
  <si>
    <t>off</t>
  </si>
  <si>
    <t>FY16 excess gifts</t>
  </si>
  <si>
    <t>less FY12 excess gifts</t>
  </si>
  <si>
    <t>plus FY17 excess gifts</t>
  </si>
  <si>
    <t>FY18 Public Support ACTUAL</t>
  </si>
  <si>
    <t>FY18</t>
  </si>
  <si>
    <t>FY17 % was</t>
  </si>
  <si>
    <t>Betty Vortman</t>
  </si>
  <si>
    <t>add B Vortman</t>
  </si>
  <si>
    <t>per schedule A</t>
  </si>
  <si>
    <t xml:space="preserve">off </t>
  </si>
  <si>
    <t>FY17 excess gifts</t>
  </si>
  <si>
    <t>less FY13 excess gifts</t>
  </si>
  <si>
    <t>plus FY18 excess gifts</t>
  </si>
  <si>
    <t>FY19 Public Support Projection</t>
  </si>
  <si>
    <t>FY19</t>
  </si>
  <si>
    <t>FY18 excl of ARF</t>
  </si>
  <si>
    <t>FY19 based on 5% increase over FY18 exclusive of ARF plus Mellon 3 yr grant</t>
  </si>
  <si>
    <t>FY18 % was</t>
  </si>
  <si>
    <t>Anne Ray Foundation</t>
  </si>
  <si>
    <t>delete Davis Given</t>
  </si>
  <si>
    <t>FY18 excess gifts</t>
  </si>
  <si>
    <t>ADD MILL FNDT WHEN WE KNOW HOW MUCH AND WHEN</t>
  </si>
  <si>
    <t>less FY14 excess gifts</t>
  </si>
  <si>
    <t>plus FY19 excess gifts</t>
  </si>
  <si>
    <t>FY20 Public Support Projection</t>
  </si>
  <si>
    <t>FY20</t>
  </si>
  <si>
    <t>FY19 excl of ARF and Mellon 3 yr grant</t>
  </si>
  <si>
    <t>FY20 based on 5% increase over FY19 exclusive of ARF and Mellon 3 yr grant</t>
  </si>
  <si>
    <t>FY19 % was</t>
  </si>
  <si>
    <t>continue C&amp;C assumed</t>
  </si>
  <si>
    <t>FY19 excess gifts</t>
  </si>
  <si>
    <t>less FY15 excess gifts</t>
  </si>
  <si>
    <t>plus FY20 excess gifts</t>
  </si>
  <si>
    <t>FY21 Public Support Projection</t>
  </si>
  <si>
    <t>FY21</t>
  </si>
  <si>
    <t>FY20 excl of ARF</t>
  </si>
  <si>
    <t>FY21 based on 5% increase over FY20 exclusive of ARF.</t>
  </si>
  <si>
    <t>FY20 % was</t>
  </si>
  <si>
    <t>5% increase assumed</t>
  </si>
  <si>
    <t>FY20 excess gifts</t>
  </si>
  <si>
    <t>less FY16 excess gifts</t>
  </si>
  <si>
    <t>plus FY21 excess gifts</t>
  </si>
  <si>
    <t>FY22 Public Support Projection</t>
  </si>
  <si>
    <t>FY22</t>
  </si>
  <si>
    <t>FY21 excl of ARF</t>
  </si>
  <si>
    <t>FY22 based on 5% increase over FY21 exclusive of ARF plus new 3 yr Mellon grant</t>
  </si>
  <si>
    <t>FY21 % was</t>
  </si>
  <si>
    <t>assume another Mellon 3 yr grant @ 7% increase</t>
  </si>
  <si>
    <t>FY21 excess gifts</t>
  </si>
  <si>
    <t>less FY17 excess gifts</t>
  </si>
  <si>
    <t>plus FY22 excess gifts</t>
  </si>
  <si>
    <t>FY23 Public Support Projection</t>
  </si>
  <si>
    <t>FY22 excl of ARF and Mellon</t>
  </si>
  <si>
    <t>FY23 based on 5% increase over FY22 exclusive of ARF and Mellon</t>
  </si>
  <si>
    <t>FY23 %</t>
  </si>
  <si>
    <t>FY22 % was</t>
  </si>
  <si>
    <t>FY23</t>
  </si>
  <si>
    <t>FY22 excess gifts</t>
  </si>
  <si>
    <t>less FY18 excess gifts</t>
  </si>
  <si>
    <t>plus FY23 excess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</si>
</sst>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3" fontId="3" fillId="0" borderId="0" xfId="1" applyFont="1"/>
    <xf numFmtId="7" fontId="3" fillId="0" borderId="0" xfId="1" applyNumberFormat="1" applyFont="1"/>
    <xf numFmtId="7" fontId="3" fillId="2" borderId="0" xfId="1" applyNumberFormat="1" applyFont="1" applyFill="1"/>
    <xf numFmtId="43" fontId="3" fillId="0" borderId="0" xfId="0" applyNumberFormat="1" applyFont="1"/>
    <xf numFmtId="43" fontId="3" fillId="2" borderId="0" xfId="1" applyFont="1" applyFill="1"/>
    <xf numFmtId="10" fontId="3" fillId="0" borderId="0" xfId="2" applyNumberFormat="1" applyFont="1"/>
    <xf numFmtId="10" fontId="3" fillId="0" borderId="0" xfId="1" applyNumberFormat="1" applyFont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quotePrefix="1" applyNumberFormat="1" applyFont="1" applyFill="1" applyBorder="1"/>
    <xf numFmtId="0" fontId="7" fillId="0" borderId="0" xfId="0" applyNumberFormat="1" applyFont="1" applyFill="1" applyBorder="1"/>
    <xf numFmtId="43" fontId="7" fillId="0" borderId="0" xfId="1" applyNumberFormat="1" applyFont="1" applyFill="1" applyBorder="1"/>
    <xf numFmtId="14" fontId="7" fillId="0" borderId="0" xfId="0" applyNumberFormat="1" applyFont="1" applyFill="1" applyBorder="1"/>
    <xf numFmtId="7" fontId="7" fillId="0" borderId="0" xfId="0" applyNumberFormat="1" applyFont="1" applyFill="1" applyBorder="1"/>
    <xf numFmtId="7" fontId="7" fillId="0" borderId="0" xfId="0" quotePrefix="1" applyNumberFormat="1" applyFont="1" applyFill="1" applyBorder="1"/>
    <xf numFmtId="7" fontId="9" fillId="0" borderId="0" xfId="0" quotePrefix="1" applyNumberFormat="1" applyFont="1" applyFill="1" applyBorder="1"/>
    <xf numFmtId="7" fontId="10" fillId="0" borderId="0" xfId="0" quotePrefix="1" applyNumberFormat="1" applyFont="1" applyFill="1" applyBorder="1"/>
    <xf numFmtId="0" fontId="9" fillId="0" borderId="0" xfId="0" quotePrefix="1" applyNumberFormat="1" applyFont="1" applyFill="1" applyBorder="1"/>
    <xf numFmtId="0" fontId="10" fillId="0" borderId="0" xfId="0" quotePrefix="1" applyNumberFormat="1" applyFont="1" applyFill="1" applyBorder="1"/>
    <xf numFmtId="14" fontId="9" fillId="0" borderId="0" xfId="0" applyNumberFormat="1" applyFont="1" applyFill="1" applyBorder="1"/>
    <xf numFmtId="7" fontId="9" fillId="0" borderId="0" xfId="0" applyNumberFormat="1" applyFont="1" applyFill="1" applyBorder="1"/>
    <xf numFmtId="7" fontId="7" fillId="0" borderId="1" xfId="0" applyNumberFormat="1" applyFont="1" applyFill="1" applyBorder="1"/>
    <xf numFmtId="7" fontId="11" fillId="0" borderId="0" xfId="1" applyNumberFormat="1" applyFont="1"/>
    <xf numFmtId="43" fontId="11" fillId="0" borderId="0" xfId="1" applyFont="1"/>
    <xf numFmtId="0" fontId="0" fillId="0" borderId="0" xfId="0" applyFont="1"/>
    <xf numFmtId="0" fontId="10" fillId="0" borderId="0" xfId="0" applyNumberFormat="1" applyFont="1" applyFill="1" applyBorder="1"/>
    <xf numFmtId="7" fontId="10" fillId="0" borderId="0" xfId="0" applyNumberFormat="1" applyFont="1" applyFill="1" applyBorder="1"/>
    <xf numFmtId="7" fontId="10" fillId="0" borderId="1" xfId="0" applyNumberFormat="1" applyFont="1" applyFill="1" applyBorder="1"/>
    <xf numFmtId="7" fontId="3" fillId="0" borderId="0" xfId="1" applyNumberFormat="1" applyFont="1" applyFill="1" applyBorder="1"/>
    <xf numFmtId="43" fontId="3" fillId="0" borderId="0" xfId="1" applyFont="1" applyFill="1" applyBorder="1"/>
    <xf numFmtId="7" fontId="12" fillId="0" borderId="0" xfId="1" applyNumberFormat="1" applyFont="1" applyFill="1" applyBorder="1"/>
    <xf numFmtId="0" fontId="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7" fontId="13" fillId="0" borderId="0" xfId="1" applyNumberFormat="1" applyFont="1"/>
    <xf numFmtId="43" fontId="13" fillId="0" borderId="0" xfId="1" applyFont="1"/>
    <xf numFmtId="10" fontId="13" fillId="0" borderId="0" xfId="1" applyNumberFormat="1" applyFont="1"/>
    <xf numFmtId="43" fontId="3" fillId="0" borderId="0" xfId="1" applyNumberFormat="1" applyFont="1"/>
    <xf numFmtId="10" fontId="0" fillId="0" borderId="0" xfId="0" applyNumberFormat="1"/>
    <xf numFmtId="7" fontId="0" fillId="0" borderId="0" xfId="0" applyNumberFormat="1"/>
    <xf numFmtId="9" fontId="0" fillId="0" borderId="0" xfId="2" applyFont="1"/>
    <xf numFmtId="0" fontId="0" fillId="0" borderId="0" xfId="0" quotePrefix="1"/>
    <xf numFmtId="43" fontId="0" fillId="0" borderId="0" xfId="1" applyFont="1"/>
    <xf numFmtId="43" fontId="7" fillId="0" borderId="0" xfId="0" applyNumberFormat="1" applyFont="1" applyFill="1" applyBorder="1"/>
    <xf numFmtId="0" fontId="15" fillId="0" borderId="0" xfId="0" applyFont="1" applyAlignment="1">
      <alignment horizontal="center"/>
    </xf>
    <xf numFmtId="0" fontId="11" fillId="0" borderId="0" xfId="0" applyFont="1"/>
    <xf numFmtId="7" fontId="11" fillId="0" borderId="0" xfId="1" applyNumberFormat="1" applyFont="1" applyFill="1" applyBorder="1"/>
    <xf numFmtId="0" fontId="0" fillId="0" borderId="0" xfId="0" applyAlignment="1">
      <alignment wrapText="1"/>
    </xf>
    <xf numFmtId="0" fontId="15" fillId="0" borderId="0" xfId="0" applyFont="1" applyFill="1" applyAlignment="1">
      <alignment horizontal="center"/>
    </xf>
    <xf numFmtId="0" fontId="11" fillId="0" borderId="0" xfId="0" applyFont="1" applyFill="1"/>
    <xf numFmtId="7" fontId="11" fillId="0" borderId="0" xfId="1" applyNumberFormat="1" applyFont="1" applyFill="1"/>
    <xf numFmtId="43" fontId="11" fillId="0" borderId="0" xfId="1" applyFont="1" applyFill="1"/>
    <xf numFmtId="43" fontId="0" fillId="0" borderId="0" xfId="0" applyNumberFormat="1"/>
    <xf numFmtId="7" fontId="2" fillId="0" borderId="0" xfId="0" applyNumberFormat="1" applyFont="1"/>
    <xf numFmtId="43" fontId="2" fillId="0" borderId="0" xfId="0" applyNumberFormat="1" applyFont="1"/>
    <xf numFmtId="0" fontId="16" fillId="0" borderId="0" xfId="0" applyFont="1"/>
    <xf numFmtId="0" fontId="0" fillId="0" borderId="1" xfId="0" applyBorder="1"/>
    <xf numFmtId="7" fontId="9" fillId="2" borderId="0" xfId="0" applyNumberFormat="1" applyFont="1" applyFill="1" applyBorder="1"/>
    <xf numFmtId="10" fontId="11" fillId="0" borderId="0" xfId="2" applyNumberFormat="1" applyFont="1"/>
    <xf numFmtId="7" fontId="0" fillId="0" borderId="0" xfId="0" applyNumberFormat="1" applyFont="1"/>
    <xf numFmtId="43" fontId="0" fillId="0" borderId="0" xfId="0" applyNumberFormat="1" applyFont="1"/>
    <xf numFmtId="0" fontId="3" fillId="0" borderId="0" xfId="0" applyFont="1" applyAlignment="1">
      <alignment wrapText="1"/>
    </xf>
    <xf numFmtId="7" fontId="2" fillId="0" borderId="0" xfId="0" applyNumberFormat="1" applyFont="1" applyAlignment="1">
      <alignment wrapText="1"/>
    </xf>
    <xf numFmtId="7" fontId="0" fillId="0" borderId="0" xfId="0" applyNumberFormat="1" applyAlignment="1">
      <alignment wrapText="1"/>
    </xf>
    <xf numFmtId="7" fontId="8" fillId="0" borderId="0" xfId="0" applyNumberFormat="1" applyFont="1" applyFill="1" applyBorder="1"/>
    <xf numFmtId="7" fontId="17" fillId="0" borderId="0" xfId="0" applyNumberFormat="1" applyFont="1" applyFill="1" applyBorder="1"/>
    <xf numFmtId="7" fontId="18" fillId="0" borderId="0" xfId="0" applyNumberFormat="1" applyFont="1" applyFill="1" applyBorder="1"/>
    <xf numFmtId="7" fontId="19" fillId="0" borderId="0" xfId="0" applyNumberFormat="1" applyFont="1" applyFill="1" applyBorder="1"/>
    <xf numFmtId="0" fontId="20" fillId="0" borderId="0" xfId="0" applyFont="1"/>
    <xf numFmtId="7" fontId="20" fillId="0" borderId="0" xfId="0" applyNumberFormat="1" applyFont="1"/>
    <xf numFmtId="43" fontId="20" fillId="0" borderId="0" xfId="0" applyNumberFormat="1" applyFont="1"/>
    <xf numFmtId="7" fontId="0" fillId="0" borderId="1" xfId="0" applyNumberFormat="1" applyBorder="1"/>
    <xf numFmtId="0" fontId="0" fillId="2" borderId="0" xfId="0" applyFill="1"/>
    <xf numFmtId="0" fontId="2" fillId="0" borderId="0" xfId="0" quotePrefix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F22" sqref="F22"/>
    </sheetView>
  </sheetViews>
  <sheetFormatPr defaultRowHeight="15" x14ac:dyDescent="0.25"/>
  <cols>
    <col min="1" max="1" width="19.5703125" bestFit="1" customWidth="1"/>
    <col min="2" max="7" width="15.7109375" customWidth="1"/>
    <col min="9" max="9" width="17.28515625" bestFit="1" customWidth="1"/>
  </cols>
  <sheetData>
    <row r="1" spans="1:9" ht="15.75" x14ac:dyDescent="0.25">
      <c r="A1" s="1"/>
      <c r="B1" s="2" t="s">
        <v>0</v>
      </c>
      <c r="C1" s="1"/>
      <c r="D1" s="1"/>
      <c r="E1" s="1"/>
      <c r="F1" s="1"/>
      <c r="G1" s="1"/>
    </row>
    <row r="2" spans="1:9" ht="15.75" x14ac:dyDescent="0.25">
      <c r="A2" s="1"/>
      <c r="B2" s="3" t="s">
        <v>1</v>
      </c>
      <c r="C2" s="1"/>
      <c r="D2" s="1"/>
      <c r="E2" s="1"/>
      <c r="F2" s="1"/>
      <c r="G2" s="1"/>
    </row>
    <row r="3" spans="1:9" x14ac:dyDescent="0.25">
      <c r="A3" s="1"/>
      <c r="B3" s="1"/>
      <c r="C3" s="1"/>
      <c r="D3" s="1"/>
      <c r="E3" s="1"/>
      <c r="F3" s="1"/>
      <c r="G3" s="1"/>
    </row>
    <row r="4" spans="1:9" x14ac:dyDescent="0.25">
      <c r="A4" s="1"/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 t="s">
        <v>2</v>
      </c>
    </row>
    <row r="5" spans="1:9" x14ac:dyDescent="0.25">
      <c r="A5" s="1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1"/>
    </row>
    <row r="6" spans="1:9" x14ac:dyDescent="0.25">
      <c r="A6" s="1"/>
      <c r="B6" s="1"/>
      <c r="C6" s="1"/>
      <c r="D6" s="1"/>
      <c r="E6" s="1"/>
      <c r="F6" s="1"/>
      <c r="G6" s="1"/>
    </row>
    <row r="7" spans="1:9" x14ac:dyDescent="0.25">
      <c r="A7" s="1" t="s">
        <v>8</v>
      </c>
      <c r="B7" s="5">
        <v>1038332</v>
      </c>
      <c r="C7" s="5">
        <v>2047221</v>
      </c>
      <c r="D7" s="5">
        <v>2692263</v>
      </c>
      <c r="E7" s="5">
        <v>2327826</v>
      </c>
      <c r="F7" s="6">
        <v>1529496</v>
      </c>
      <c r="G7" s="5">
        <f>SUM(B7:F7)</f>
        <v>9635138</v>
      </c>
    </row>
    <row r="8" spans="1:9" x14ac:dyDescent="0.25">
      <c r="A8" s="1"/>
      <c r="B8" s="5"/>
      <c r="C8" s="5"/>
      <c r="D8" s="5"/>
      <c r="E8" s="5"/>
      <c r="F8" s="6"/>
      <c r="G8" s="5"/>
    </row>
    <row r="9" spans="1:9" x14ac:dyDescent="0.25">
      <c r="A9" s="1" t="s">
        <v>9</v>
      </c>
      <c r="B9" s="5"/>
      <c r="C9" s="5"/>
      <c r="D9" s="5"/>
      <c r="E9" s="5"/>
      <c r="F9" s="6"/>
      <c r="G9" s="6">
        <v>4822886.3600000003</v>
      </c>
      <c r="I9" s="6">
        <v>4822886.3599999994</v>
      </c>
    </row>
    <row r="10" spans="1:9" x14ac:dyDescent="0.25">
      <c r="A10" s="1"/>
      <c r="B10" s="5"/>
      <c r="C10" s="5"/>
      <c r="D10" s="5"/>
      <c r="E10" s="5"/>
      <c r="F10" s="6"/>
      <c r="G10" s="5"/>
    </row>
    <row r="11" spans="1:9" x14ac:dyDescent="0.25">
      <c r="A11" s="1" t="s">
        <v>10</v>
      </c>
      <c r="B11" s="5"/>
      <c r="C11" s="5"/>
      <c r="D11" s="5"/>
      <c r="E11" s="5"/>
      <c r="F11" s="6"/>
      <c r="G11" s="7">
        <f>+G7-G9</f>
        <v>4812251.6399999997</v>
      </c>
    </row>
    <row r="12" spans="1:9" x14ac:dyDescent="0.25">
      <c r="A12" s="1"/>
      <c r="B12" s="5"/>
      <c r="C12" s="5"/>
      <c r="D12" s="5"/>
      <c r="E12" s="5"/>
      <c r="F12" s="5"/>
      <c r="G12" s="5"/>
    </row>
    <row r="13" spans="1:9" x14ac:dyDescent="0.25">
      <c r="A13" s="1" t="s">
        <v>11</v>
      </c>
      <c r="B13" s="5">
        <f>+B7</f>
        <v>1038332</v>
      </c>
      <c r="C13" s="5">
        <f t="shared" ref="C13:F13" si="0">+C7</f>
        <v>2047221</v>
      </c>
      <c r="D13" s="5">
        <f t="shared" si="0"/>
        <v>2692263</v>
      </c>
      <c r="E13" s="5">
        <f t="shared" si="0"/>
        <v>2327826</v>
      </c>
      <c r="F13" s="5">
        <f t="shared" si="0"/>
        <v>1529496</v>
      </c>
      <c r="G13" s="5">
        <f>SUM(B13:F13)</f>
        <v>9635138</v>
      </c>
    </row>
    <row r="14" spans="1:9" x14ac:dyDescent="0.25">
      <c r="A14" s="1"/>
      <c r="B14" s="5"/>
      <c r="C14" s="5"/>
      <c r="D14" s="5"/>
      <c r="E14" s="5"/>
      <c r="F14" s="5"/>
      <c r="G14" s="5"/>
    </row>
    <row r="15" spans="1:9" x14ac:dyDescent="0.25">
      <c r="A15" s="1" t="s">
        <v>12</v>
      </c>
      <c r="B15" s="5">
        <v>519992</v>
      </c>
      <c r="C15" s="5">
        <v>413790</v>
      </c>
      <c r="D15" s="5">
        <v>478330</v>
      </c>
      <c r="E15" s="5">
        <v>725019</v>
      </c>
      <c r="F15" s="5">
        <v>454140</v>
      </c>
      <c r="G15" s="8">
        <f>SUM(B15:F15)</f>
        <v>2591271</v>
      </c>
    </row>
    <row r="16" spans="1:9" x14ac:dyDescent="0.25">
      <c r="A16" s="1"/>
      <c r="B16" s="5"/>
      <c r="C16" s="5"/>
      <c r="D16" s="5"/>
      <c r="E16" s="5"/>
      <c r="F16" s="5"/>
      <c r="G16" s="5"/>
    </row>
    <row r="17" spans="1:9" x14ac:dyDescent="0.25">
      <c r="A17" s="1" t="s">
        <v>13</v>
      </c>
      <c r="B17" s="5"/>
      <c r="C17" s="5"/>
      <c r="D17" s="5"/>
      <c r="E17" s="5"/>
      <c r="F17" s="5"/>
      <c r="G17" s="9">
        <f>SUM(B13:F15)</f>
        <v>12226409</v>
      </c>
      <c r="I17" s="37" t="s">
        <v>14</v>
      </c>
    </row>
    <row r="18" spans="1:9" x14ac:dyDescent="0.25">
      <c r="A18" s="1" t="s">
        <v>15</v>
      </c>
      <c r="B18" s="5"/>
      <c r="C18" s="5"/>
      <c r="D18" s="5"/>
      <c r="E18" s="5"/>
      <c r="F18" s="5"/>
      <c r="G18" s="5">
        <f>+G17*0.02</f>
        <v>244528.18</v>
      </c>
    </row>
    <row r="19" spans="1:9" x14ac:dyDescent="0.25">
      <c r="A19" s="1"/>
      <c r="B19" s="5"/>
      <c r="C19" s="5"/>
      <c r="D19" s="5"/>
      <c r="E19" s="5"/>
      <c r="F19" s="5"/>
      <c r="G19" s="5"/>
    </row>
    <row r="20" spans="1:9" x14ac:dyDescent="0.25">
      <c r="A20" s="1" t="s">
        <v>16</v>
      </c>
      <c r="B20" s="5"/>
      <c r="C20" s="5"/>
      <c r="D20" s="5"/>
      <c r="E20" s="5"/>
      <c r="F20" s="5"/>
      <c r="G20" s="10">
        <f>+G11/G17</f>
        <v>0.39359485193076721</v>
      </c>
    </row>
    <row r="21" spans="1:9" x14ac:dyDescent="0.25">
      <c r="A21" s="1"/>
      <c r="B21" s="5"/>
      <c r="C21" s="5"/>
      <c r="D21" s="5"/>
      <c r="E21" s="5"/>
      <c r="F21" s="5"/>
      <c r="G21" s="5"/>
    </row>
    <row r="22" spans="1:9" x14ac:dyDescent="0.25">
      <c r="A22" s="1"/>
      <c r="B22" s="5"/>
      <c r="C22" s="5"/>
      <c r="D22" s="5"/>
      <c r="E22" s="5" t="s">
        <v>17</v>
      </c>
      <c r="F22" s="11">
        <v>0.39019999999999999</v>
      </c>
      <c r="G22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opLeftCell="A4" workbookViewId="0">
      <selection activeCell="L52" sqref="L52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8" width="13.5703125" bestFit="1" customWidth="1"/>
    <col min="9" max="9" width="13.5703125" customWidth="1"/>
    <col min="10" max="10" width="20.140625" bestFit="1" customWidth="1"/>
    <col min="11" max="12" width="13.5703125" bestFit="1" customWidth="1"/>
  </cols>
  <sheetData>
    <row r="1" spans="1:15" x14ac:dyDescent="0.25">
      <c r="A1" s="12"/>
      <c r="B1" s="12"/>
      <c r="C1" s="12"/>
      <c r="D1" s="13"/>
      <c r="E1" s="12"/>
      <c r="F1" s="30"/>
      <c r="G1" s="30"/>
      <c r="H1" s="30"/>
      <c r="I1" s="30"/>
      <c r="J1" s="12"/>
      <c r="K1" s="14"/>
      <c r="L1" s="12"/>
    </row>
    <row r="2" spans="1:15" x14ac:dyDescent="0.25">
      <c r="A2" s="15" t="s">
        <v>18</v>
      </c>
      <c r="B2" s="15" t="s">
        <v>19</v>
      </c>
      <c r="C2" s="15"/>
      <c r="D2" s="15" t="s">
        <v>20</v>
      </c>
      <c r="E2" s="16" t="s">
        <v>7</v>
      </c>
      <c r="F2" s="31" t="s">
        <v>37</v>
      </c>
      <c r="G2" s="16" t="s">
        <v>41</v>
      </c>
      <c r="H2" s="16" t="s">
        <v>49</v>
      </c>
      <c r="I2" s="16" t="s">
        <v>58</v>
      </c>
      <c r="J2" s="15" t="s">
        <v>25</v>
      </c>
      <c r="K2" s="12" t="s">
        <v>26</v>
      </c>
      <c r="L2" s="17">
        <f>+'FY18 sched A'!G18</f>
        <v>237996.935</v>
      </c>
    </row>
    <row r="3" spans="1:15" x14ac:dyDescent="0.25">
      <c r="A3" s="15"/>
      <c r="B3" s="18"/>
      <c r="C3" s="18"/>
      <c r="D3" s="19"/>
      <c r="E3" s="15"/>
      <c r="F3" s="24"/>
      <c r="G3" s="24"/>
      <c r="H3" s="24"/>
      <c r="I3" s="24"/>
      <c r="J3" s="19"/>
      <c r="K3" s="19"/>
      <c r="L3" s="19"/>
    </row>
    <row r="4" spans="1:15" x14ac:dyDescent="0.25">
      <c r="A4" s="15"/>
      <c r="B4" s="18"/>
      <c r="C4" s="18"/>
      <c r="D4" s="19"/>
      <c r="E4" s="20"/>
      <c r="F4" s="22"/>
      <c r="G4" s="22"/>
      <c r="H4" s="22"/>
      <c r="I4" s="22"/>
      <c r="K4" s="19"/>
      <c r="L4" s="19"/>
    </row>
    <row r="5" spans="1:15" x14ac:dyDescent="0.25">
      <c r="A5" s="15" t="s">
        <v>27</v>
      </c>
      <c r="B5" s="18" t="s">
        <v>7</v>
      </c>
      <c r="C5" s="18"/>
      <c r="D5" s="19">
        <f>+'FY17 excess gifts'!D5</f>
        <v>691698</v>
      </c>
      <c r="E5" s="20">
        <f>+D5</f>
        <v>691698</v>
      </c>
      <c r="F5" s="22"/>
      <c r="G5" s="22"/>
      <c r="H5" s="22"/>
      <c r="I5" s="22"/>
      <c r="K5" s="19"/>
      <c r="L5" s="19"/>
      <c r="O5" s="37"/>
    </row>
    <row r="6" spans="1:15" x14ac:dyDescent="0.25">
      <c r="A6" s="15" t="s">
        <v>27</v>
      </c>
      <c r="B6" s="18" t="s">
        <v>37</v>
      </c>
      <c r="D6" s="19">
        <f>+'FY17 excess gifts'!D6</f>
        <v>685404</v>
      </c>
      <c r="F6" s="22">
        <f>+D6</f>
        <v>685404</v>
      </c>
      <c r="G6" s="22"/>
      <c r="H6" s="22"/>
      <c r="I6" s="22"/>
      <c r="J6" s="19"/>
      <c r="K6" s="19"/>
      <c r="L6" s="19"/>
    </row>
    <row r="7" spans="1:15" x14ac:dyDescent="0.25">
      <c r="A7" s="15" t="s">
        <v>27</v>
      </c>
      <c r="B7" s="18" t="s">
        <v>41</v>
      </c>
      <c r="D7" s="19">
        <f>+'FY17 excess gifts'!D7</f>
        <v>750994</v>
      </c>
      <c r="F7" s="22"/>
      <c r="G7" s="22">
        <f>+D7</f>
        <v>750994</v>
      </c>
      <c r="H7" s="22"/>
      <c r="I7" s="22"/>
      <c r="J7" s="19"/>
      <c r="K7" s="19"/>
      <c r="L7" s="19"/>
    </row>
    <row r="8" spans="1:15" x14ac:dyDescent="0.25">
      <c r="A8" s="15" t="s">
        <v>27</v>
      </c>
      <c r="B8" s="18" t="s">
        <v>49</v>
      </c>
      <c r="D8" s="19">
        <f>+'FY17 excess gifts'!D8</f>
        <v>580239</v>
      </c>
      <c r="F8" s="22"/>
      <c r="G8" s="22"/>
      <c r="H8" s="22">
        <f>+D8</f>
        <v>580239</v>
      </c>
      <c r="I8" s="22"/>
      <c r="J8" s="72"/>
      <c r="K8" s="19"/>
      <c r="L8" s="19"/>
    </row>
    <row r="9" spans="1:15" x14ac:dyDescent="0.25">
      <c r="A9" s="15" t="s">
        <v>27</v>
      </c>
      <c r="B9" s="18" t="s">
        <v>58</v>
      </c>
      <c r="D9" s="19">
        <v>506000</v>
      </c>
      <c r="F9" s="22"/>
      <c r="G9" s="22"/>
      <c r="H9" s="22"/>
      <c r="I9" s="22">
        <f>+D9</f>
        <v>506000</v>
      </c>
      <c r="J9" s="73">
        <f>SUM(E5:I9)</f>
        <v>3214335</v>
      </c>
      <c r="K9" s="19">
        <f>IF(J9&gt;L$2,L$2,J9)</f>
        <v>237996.935</v>
      </c>
      <c r="L9" s="19">
        <f>IF(K9=L$2,J9-K9,0)</f>
        <v>2976338.0649999999</v>
      </c>
    </row>
    <row r="10" spans="1:15" x14ac:dyDescent="0.25">
      <c r="A10" s="23"/>
      <c r="B10" s="18"/>
      <c r="C10" s="18"/>
      <c r="D10" s="19"/>
      <c r="E10" s="20"/>
      <c r="F10" s="22"/>
      <c r="G10" s="22"/>
      <c r="H10" s="22"/>
      <c r="I10" s="22"/>
      <c r="J10" s="72"/>
      <c r="K10" s="19"/>
      <c r="L10" s="19"/>
    </row>
    <row r="11" spans="1:15" x14ac:dyDescent="0.25">
      <c r="A11" s="15" t="s">
        <v>28</v>
      </c>
      <c r="B11" s="18" t="s">
        <v>7</v>
      </c>
      <c r="C11" s="18"/>
      <c r="D11" s="19">
        <f>+'FY17 excess gifts'!D11</f>
        <v>2275.75</v>
      </c>
      <c r="E11" s="20">
        <f>+D11</f>
        <v>2275.75</v>
      </c>
      <c r="F11" s="22"/>
      <c r="G11" s="22"/>
      <c r="H11" s="22"/>
      <c r="I11" s="22"/>
      <c r="J11" s="74"/>
      <c r="K11" s="19"/>
      <c r="L11" s="19"/>
    </row>
    <row r="12" spans="1:15" x14ac:dyDescent="0.25">
      <c r="A12" s="15" t="s">
        <v>28</v>
      </c>
      <c r="B12" s="18" t="s">
        <v>37</v>
      </c>
      <c r="D12" s="19">
        <f>+'FY17 excess gifts'!D12</f>
        <v>2275.75</v>
      </c>
      <c r="F12" s="22">
        <f>+D12</f>
        <v>2275.75</v>
      </c>
      <c r="G12" s="22"/>
      <c r="H12" s="22"/>
      <c r="I12" s="22"/>
      <c r="J12" s="72"/>
      <c r="K12" s="19"/>
      <c r="L12" s="19"/>
    </row>
    <row r="13" spans="1:15" x14ac:dyDescent="0.25">
      <c r="A13" s="15" t="s">
        <v>28</v>
      </c>
      <c r="B13" s="18" t="s">
        <v>41</v>
      </c>
      <c r="D13" s="19">
        <f>+'FY17 excess gifts'!D13</f>
        <v>2250</v>
      </c>
      <c r="F13" s="22"/>
      <c r="G13" s="22">
        <f>+D13</f>
        <v>2250</v>
      </c>
      <c r="H13" s="22"/>
      <c r="I13" s="22"/>
      <c r="J13" s="72"/>
      <c r="K13" s="19"/>
      <c r="L13" s="19"/>
    </row>
    <row r="14" spans="1:15" x14ac:dyDescent="0.25">
      <c r="A14" s="15" t="s">
        <v>28</v>
      </c>
      <c r="B14" s="18" t="s">
        <v>49</v>
      </c>
      <c r="D14" s="19">
        <f>+'FY17 excess gifts'!D14</f>
        <v>2250</v>
      </c>
      <c r="F14" s="22"/>
      <c r="G14" s="22"/>
      <c r="H14" s="22">
        <f>+D14</f>
        <v>2250</v>
      </c>
      <c r="I14" s="22"/>
      <c r="J14" s="72"/>
      <c r="K14" s="19"/>
      <c r="L14" s="19"/>
    </row>
    <row r="15" spans="1:15" x14ac:dyDescent="0.25">
      <c r="A15" s="15" t="s">
        <v>28</v>
      </c>
      <c r="B15" s="18" t="s">
        <v>58</v>
      </c>
      <c r="D15" s="19">
        <v>2250</v>
      </c>
      <c r="F15" s="22"/>
      <c r="G15" s="22"/>
      <c r="H15" s="22"/>
      <c r="I15" s="22">
        <f>+D15</f>
        <v>2250</v>
      </c>
      <c r="J15" s="72">
        <f>SUM(E11:I15)</f>
        <v>11301.5</v>
      </c>
      <c r="K15" s="19">
        <f>IF(J15&gt;L$2,L$2,J15)</f>
        <v>11301.5</v>
      </c>
      <c r="L15" s="19">
        <f>IF(K15=L$2,J15-K15,0)</f>
        <v>0</v>
      </c>
    </row>
    <row r="16" spans="1:15" x14ac:dyDescent="0.25">
      <c r="A16" s="15"/>
      <c r="B16" s="18"/>
      <c r="C16" s="18"/>
      <c r="D16" s="19"/>
      <c r="E16" s="15"/>
      <c r="F16" s="24"/>
      <c r="G16" s="24"/>
      <c r="H16" s="24"/>
      <c r="I16" s="24"/>
      <c r="J16" s="72"/>
      <c r="K16" s="19"/>
      <c r="L16" s="19"/>
    </row>
    <row r="17" spans="1:18" x14ac:dyDescent="0.25">
      <c r="A17" s="15" t="s">
        <v>29</v>
      </c>
      <c r="B17" s="18" t="s">
        <v>7</v>
      </c>
      <c r="C17" s="18"/>
      <c r="D17" s="19">
        <f>+'FY17 excess gifts'!D17</f>
        <v>35000</v>
      </c>
      <c r="E17" s="20">
        <f>+D17</f>
        <v>35000</v>
      </c>
      <c r="F17" s="22"/>
      <c r="G17" s="22"/>
      <c r="H17" s="22"/>
      <c r="I17" s="22"/>
      <c r="J17" s="74"/>
      <c r="K17" s="19"/>
      <c r="L17" s="19"/>
    </row>
    <row r="18" spans="1:18" x14ac:dyDescent="0.25">
      <c r="A18" s="15" t="s">
        <v>29</v>
      </c>
      <c r="B18" s="18" t="s">
        <v>37</v>
      </c>
      <c r="C18" s="18"/>
      <c r="D18" s="19">
        <f>+'FY17 excess gifts'!D18</f>
        <v>35000</v>
      </c>
      <c r="F18" s="22">
        <f>+D18</f>
        <v>35000</v>
      </c>
      <c r="G18" s="22"/>
      <c r="H18" s="22"/>
      <c r="I18" s="22"/>
      <c r="J18" s="72"/>
      <c r="K18" s="19"/>
      <c r="L18" s="19"/>
    </row>
    <row r="19" spans="1:18" x14ac:dyDescent="0.25">
      <c r="A19" s="15" t="s">
        <v>29</v>
      </c>
      <c r="B19" s="18" t="s">
        <v>41</v>
      </c>
      <c r="C19" s="18"/>
      <c r="D19" s="19">
        <f>+'FY17 excess gifts'!D19</f>
        <v>85000</v>
      </c>
      <c r="F19" s="22"/>
      <c r="G19" s="22">
        <f>+D19</f>
        <v>85000</v>
      </c>
      <c r="H19" s="22"/>
      <c r="I19" s="22"/>
      <c r="J19" s="72"/>
      <c r="K19" s="19"/>
      <c r="L19" s="19"/>
    </row>
    <row r="20" spans="1:18" x14ac:dyDescent="0.25">
      <c r="A20" s="15" t="s">
        <v>29</v>
      </c>
      <c r="B20" s="18" t="s">
        <v>49</v>
      </c>
      <c r="C20" s="18"/>
      <c r="D20" s="19">
        <f>+'FY17 excess gifts'!D20</f>
        <v>86023</v>
      </c>
      <c r="F20" s="22"/>
      <c r="G20" s="22"/>
      <c r="H20" s="22">
        <f>+D20</f>
        <v>86023</v>
      </c>
      <c r="I20" s="22"/>
      <c r="J20" s="72"/>
      <c r="K20" s="19"/>
      <c r="L20" s="19"/>
    </row>
    <row r="21" spans="1:18" x14ac:dyDescent="0.25">
      <c r="A21" s="15" t="s">
        <v>29</v>
      </c>
      <c r="B21" s="18" t="s">
        <v>58</v>
      </c>
      <c r="C21" s="18"/>
      <c r="D21" s="72">
        <f>146398-35600</f>
        <v>110798</v>
      </c>
      <c r="F21" s="22"/>
      <c r="G21" s="22"/>
      <c r="H21" s="22"/>
      <c r="I21" s="22">
        <f>+D21</f>
        <v>110798</v>
      </c>
      <c r="J21" s="73">
        <f>SUM(E17:I21)</f>
        <v>351821</v>
      </c>
      <c r="K21" s="19">
        <f>IF(J21&gt;L$2,L$2,J21)</f>
        <v>237996.935</v>
      </c>
      <c r="L21" s="19">
        <f>IF(K21=L$2,J21-K21,0)</f>
        <v>113824.065</v>
      </c>
      <c r="O21" s="37"/>
      <c r="P21" s="37"/>
      <c r="Q21" s="37"/>
      <c r="R21" s="37"/>
    </row>
    <row r="22" spans="1:18" x14ac:dyDescent="0.25">
      <c r="A22" s="15"/>
      <c r="B22" s="18"/>
      <c r="C22" s="18"/>
      <c r="D22" s="19"/>
      <c r="E22" s="20"/>
      <c r="F22" s="22"/>
      <c r="G22" s="22"/>
      <c r="H22" s="22"/>
      <c r="I22" s="22"/>
      <c r="J22" s="72"/>
      <c r="K22" s="19"/>
      <c r="L22" s="19"/>
    </row>
    <row r="23" spans="1:18" x14ac:dyDescent="0.25">
      <c r="A23" s="15"/>
      <c r="B23" s="18"/>
      <c r="C23" s="18"/>
      <c r="D23" s="19"/>
      <c r="E23" s="20"/>
      <c r="F23" s="22"/>
      <c r="G23" s="22"/>
      <c r="H23" s="22"/>
      <c r="I23" s="22"/>
      <c r="J23" s="74"/>
      <c r="K23" s="19"/>
      <c r="L23" s="19"/>
    </row>
    <row r="24" spans="1:18" x14ac:dyDescent="0.25">
      <c r="A24" s="15" t="s">
        <v>30</v>
      </c>
      <c r="B24" s="18" t="s">
        <v>7</v>
      </c>
      <c r="C24" s="18"/>
      <c r="D24" s="19">
        <f>+'FY17 excess gifts'!D23</f>
        <v>85000</v>
      </c>
      <c r="E24" s="20">
        <f>+D24</f>
        <v>85000</v>
      </c>
      <c r="F24" s="22"/>
      <c r="G24" s="22"/>
      <c r="H24" s="22"/>
      <c r="I24" s="22"/>
      <c r="J24" s="74"/>
      <c r="K24" s="19"/>
      <c r="L24" s="19"/>
    </row>
    <row r="25" spans="1:18" x14ac:dyDescent="0.25">
      <c r="A25" s="15" t="s">
        <v>30</v>
      </c>
      <c r="B25" s="18" t="s">
        <v>37</v>
      </c>
      <c r="D25" s="19">
        <f>+'FY17 excess gifts'!D24</f>
        <v>10000</v>
      </c>
      <c r="F25" s="22">
        <f>+D25</f>
        <v>10000</v>
      </c>
      <c r="G25" s="22"/>
      <c r="H25" s="22"/>
      <c r="I25" s="22"/>
      <c r="J25" s="72"/>
      <c r="K25" s="19"/>
      <c r="L25" s="19"/>
    </row>
    <row r="26" spans="1:18" x14ac:dyDescent="0.25">
      <c r="A26" s="15" t="s">
        <v>30</v>
      </c>
      <c r="B26" s="18" t="s">
        <v>41</v>
      </c>
      <c r="D26" s="19">
        <f>+'FY17 excess gifts'!D25</f>
        <v>35000</v>
      </c>
      <c r="F26" s="22"/>
      <c r="G26" s="22">
        <f>+D26</f>
        <v>35000</v>
      </c>
      <c r="H26" s="22"/>
      <c r="I26" s="22"/>
      <c r="J26" s="72"/>
      <c r="K26" s="19"/>
      <c r="L26" s="19"/>
    </row>
    <row r="27" spans="1:18" x14ac:dyDescent="0.25">
      <c r="A27" s="15" t="s">
        <v>30</v>
      </c>
      <c r="B27" s="18" t="s">
        <v>49</v>
      </c>
      <c r="D27" s="19">
        <f>+'FY17 excess gifts'!D26</f>
        <v>25000</v>
      </c>
      <c r="F27" s="22"/>
      <c r="G27" s="22"/>
      <c r="H27" s="22">
        <f>+D27</f>
        <v>25000</v>
      </c>
      <c r="I27" s="22"/>
      <c r="J27" s="72"/>
      <c r="K27" s="19"/>
      <c r="L27" s="19"/>
    </row>
    <row r="28" spans="1:18" x14ac:dyDescent="0.25">
      <c r="A28" s="15" t="s">
        <v>30</v>
      </c>
      <c r="B28" s="18" t="s">
        <v>58</v>
      </c>
      <c r="D28" s="32">
        <v>0</v>
      </c>
      <c r="F28" s="22"/>
      <c r="G28" s="22"/>
      <c r="H28" s="22"/>
      <c r="I28" s="22">
        <f>+D28</f>
        <v>0</v>
      </c>
      <c r="J28" s="72">
        <f>SUM(E24:I28)</f>
        <v>155000</v>
      </c>
      <c r="K28" s="19">
        <f>IF(J28&gt;L$2,L$2,J28)</f>
        <v>155000</v>
      </c>
      <c r="L28" s="19">
        <f>IF(K28=L$2,J28-K28,0)</f>
        <v>0</v>
      </c>
    </row>
    <row r="29" spans="1:18" x14ac:dyDescent="0.25">
      <c r="A29" s="15"/>
      <c r="B29" s="18"/>
      <c r="C29" s="18"/>
      <c r="D29" s="19"/>
      <c r="E29" s="20"/>
      <c r="F29" s="22"/>
      <c r="G29" s="22"/>
      <c r="H29" s="22"/>
      <c r="I29" s="22"/>
      <c r="J29" s="72"/>
      <c r="K29" s="19"/>
      <c r="L29" s="19"/>
    </row>
    <row r="30" spans="1:18" x14ac:dyDescent="0.25">
      <c r="A30" s="15" t="s">
        <v>31</v>
      </c>
      <c r="B30" s="18" t="s">
        <v>7</v>
      </c>
      <c r="C30" s="18"/>
      <c r="D30" s="19">
        <f>+'FY17 excess gifts'!D29</f>
        <v>340000</v>
      </c>
      <c r="E30" s="20">
        <f>+D30</f>
        <v>340000</v>
      </c>
      <c r="F30" s="22"/>
      <c r="G30" s="22"/>
      <c r="H30" s="22"/>
      <c r="I30" s="22"/>
      <c r="J30" s="74"/>
      <c r="K30" s="19"/>
      <c r="L30" s="19"/>
    </row>
    <row r="31" spans="1:18" x14ac:dyDescent="0.25">
      <c r="A31" s="15" t="s">
        <v>31</v>
      </c>
      <c r="B31" s="18" t="s">
        <v>37</v>
      </c>
      <c r="D31" s="19">
        <f>+'FY17 excess gifts'!D30</f>
        <v>204000</v>
      </c>
      <c r="F31" s="22">
        <f>+D31</f>
        <v>204000</v>
      </c>
      <c r="G31" s="22"/>
      <c r="H31" s="22"/>
      <c r="I31" s="22"/>
      <c r="J31" s="72"/>
      <c r="K31" s="19"/>
      <c r="L31" s="19"/>
    </row>
    <row r="32" spans="1:18" x14ac:dyDescent="0.25">
      <c r="A32" s="15" t="s">
        <v>31</v>
      </c>
      <c r="B32" s="18" t="s">
        <v>41</v>
      </c>
      <c r="D32" s="19">
        <f>+'FY17 excess gifts'!D31</f>
        <v>100000</v>
      </c>
      <c r="F32" s="22"/>
      <c r="G32" s="22">
        <f>+D32</f>
        <v>100000</v>
      </c>
      <c r="H32" s="22"/>
      <c r="I32" s="22"/>
      <c r="J32" s="72"/>
      <c r="K32" s="19"/>
      <c r="L32" s="19"/>
    </row>
    <row r="33" spans="1:12" x14ac:dyDescent="0.25">
      <c r="A33" s="15" t="s">
        <v>31</v>
      </c>
      <c r="B33" s="18" t="s">
        <v>49</v>
      </c>
      <c r="D33" s="19">
        <f>+'FY17 excess gifts'!D32</f>
        <v>100000</v>
      </c>
      <c r="F33" s="22"/>
      <c r="G33" s="22"/>
      <c r="H33" s="22">
        <f>+D33</f>
        <v>100000</v>
      </c>
      <c r="I33" s="22"/>
      <c r="J33" s="72"/>
      <c r="K33" s="19"/>
      <c r="L33" s="19"/>
    </row>
    <row r="34" spans="1:12" x14ac:dyDescent="0.25">
      <c r="A34" s="15" t="s">
        <v>31</v>
      </c>
      <c r="B34" s="18" t="s">
        <v>58</v>
      </c>
      <c r="D34" s="32">
        <v>100000</v>
      </c>
      <c r="F34" s="22"/>
      <c r="G34" s="22"/>
      <c r="H34" s="22"/>
      <c r="I34" s="22">
        <f>+D34</f>
        <v>100000</v>
      </c>
      <c r="J34" s="73">
        <f>SUM(E30:I34)</f>
        <v>844000</v>
      </c>
      <c r="K34" s="19">
        <f>IF(J34&gt;L$2,L$2,J34)</f>
        <v>237996.935</v>
      </c>
      <c r="L34" s="19">
        <f>IF(K34=L$2,J34-K34,0)</f>
        <v>606003.06499999994</v>
      </c>
    </row>
    <row r="35" spans="1:12" x14ac:dyDescent="0.25">
      <c r="A35" s="15"/>
      <c r="B35" s="18"/>
      <c r="C35" s="18"/>
      <c r="D35" s="19"/>
      <c r="E35" s="20"/>
      <c r="F35" s="22"/>
      <c r="G35" s="22"/>
      <c r="H35" s="22"/>
      <c r="I35" s="22"/>
      <c r="J35" s="72"/>
      <c r="K35" s="19"/>
      <c r="L35" s="19"/>
    </row>
    <row r="36" spans="1:12" x14ac:dyDescent="0.25">
      <c r="A36" s="15" t="s">
        <v>34</v>
      </c>
      <c r="B36" s="18" t="s">
        <v>7</v>
      </c>
      <c r="C36" s="18"/>
      <c r="D36" s="19">
        <f>+'FY17 excess gifts'!D35</f>
        <v>0</v>
      </c>
      <c r="E36" s="19">
        <f>+D36</f>
        <v>0</v>
      </c>
      <c r="F36" s="32"/>
      <c r="G36" s="32"/>
      <c r="H36" s="32"/>
      <c r="I36" s="32"/>
      <c r="J36" s="74"/>
    </row>
    <row r="37" spans="1:12" x14ac:dyDescent="0.25">
      <c r="A37" s="15" t="s">
        <v>34</v>
      </c>
      <c r="B37" s="18" t="s">
        <v>37</v>
      </c>
      <c r="C37" s="18"/>
      <c r="D37" s="19">
        <f>+'FY17 excess gifts'!G36</f>
        <v>165851</v>
      </c>
      <c r="E37" s="19"/>
      <c r="F37" s="32">
        <f>+D37</f>
        <v>165851</v>
      </c>
      <c r="G37" s="32"/>
      <c r="H37" s="32"/>
      <c r="I37" s="32"/>
      <c r="J37" s="72"/>
      <c r="K37" s="19"/>
      <c r="L37" s="19"/>
    </row>
    <row r="38" spans="1:12" x14ac:dyDescent="0.25">
      <c r="A38" s="15" t="s">
        <v>34</v>
      </c>
      <c r="B38" s="18" t="s">
        <v>41</v>
      </c>
      <c r="C38" s="18"/>
      <c r="D38" s="19">
        <f>+'FY17 excess gifts'!D37</f>
        <v>260000</v>
      </c>
      <c r="E38" s="19"/>
      <c r="F38" s="32"/>
      <c r="G38" s="32">
        <f>+D38</f>
        <v>260000</v>
      </c>
      <c r="H38" s="32"/>
      <c r="I38" s="32"/>
      <c r="J38" s="72"/>
      <c r="K38" s="19"/>
      <c r="L38" s="19"/>
    </row>
    <row r="39" spans="1:12" x14ac:dyDescent="0.25">
      <c r="A39" s="15" t="s">
        <v>34</v>
      </c>
      <c r="B39" s="18" t="s">
        <v>49</v>
      </c>
      <c r="C39" s="18"/>
      <c r="D39" s="19">
        <f>+'FY17 excess gifts'!D38</f>
        <v>220000</v>
      </c>
      <c r="E39" s="19"/>
      <c r="F39" s="32"/>
      <c r="G39" s="32"/>
      <c r="H39" s="32">
        <f>+D39</f>
        <v>220000</v>
      </c>
      <c r="I39" s="32"/>
      <c r="J39" s="72"/>
      <c r="K39" s="19"/>
      <c r="L39" s="19"/>
    </row>
    <row r="40" spans="1:12" x14ac:dyDescent="0.25">
      <c r="A40" s="15" t="s">
        <v>34</v>
      </c>
      <c r="B40" s="18" t="s">
        <v>58</v>
      </c>
      <c r="C40" s="18"/>
      <c r="D40" s="32">
        <v>123000</v>
      </c>
      <c r="E40" s="19"/>
      <c r="F40" s="32"/>
      <c r="G40" s="32"/>
      <c r="H40" s="32"/>
      <c r="I40" s="32">
        <f>+D40</f>
        <v>123000</v>
      </c>
      <c r="J40" s="73">
        <f>SUM(E36:I40)</f>
        <v>768851</v>
      </c>
      <c r="K40" s="19">
        <f>IF(J40&gt;L$2,L$2,J40)</f>
        <v>237996.935</v>
      </c>
      <c r="L40" s="19">
        <f>IF(K40=L$2,J40-K40,0)</f>
        <v>530854.06499999994</v>
      </c>
    </row>
    <row r="41" spans="1:12" x14ac:dyDescent="0.25">
      <c r="A41" s="15"/>
      <c r="B41" s="18"/>
      <c r="C41" s="18"/>
      <c r="D41" s="19"/>
      <c r="E41" s="19"/>
      <c r="F41" s="32"/>
      <c r="G41" s="32"/>
      <c r="H41" s="32"/>
      <c r="I41" s="32"/>
      <c r="J41" s="72"/>
      <c r="K41" s="19"/>
      <c r="L41" s="19"/>
    </row>
    <row r="42" spans="1:12" x14ac:dyDescent="0.25">
      <c r="A42" s="15" t="s">
        <v>60</v>
      </c>
      <c r="B42" s="18" t="s">
        <v>7</v>
      </c>
      <c r="C42" s="18"/>
      <c r="D42" s="19">
        <v>20000</v>
      </c>
      <c r="E42" s="19">
        <f>+D42</f>
        <v>20000</v>
      </c>
      <c r="F42" s="32"/>
      <c r="G42" s="32"/>
      <c r="H42" s="32"/>
      <c r="I42" s="32"/>
      <c r="J42" s="72"/>
      <c r="K42" s="19"/>
      <c r="L42" s="19"/>
    </row>
    <row r="43" spans="1:12" x14ac:dyDescent="0.25">
      <c r="A43" s="15" t="s">
        <v>60</v>
      </c>
      <c r="B43" s="18" t="s">
        <v>37</v>
      </c>
      <c r="C43" s="18"/>
      <c r="D43" s="19">
        <v>6000</v>
      </c>
      <c r="E43" s="19"/>
      <c r="F43" s="32">
        <f>+D43</f>
        <v>6000</v>
      </c>
      <c r="G43" s="32"/>
      <c r="H43" s="32"/>
      <c r="I43" s="32"/>
      <c r="J43" s="72"/>
      <c r="K43" s="19"/>
      <c r="L43" s="19"/>
    </row>
    <row r="44" spans="1:12" x14ac:dyDescent="0.25">
      <c r="A44" s="15" t="s">
        <v>60</v>
      </c>
      <c r="B44" s="18" t="s">
        <v>41</v>
      </c>
      <c r="C44" s="18"/>
      <c r="D44" s="19">
        <v>8000</v>
      </c>
      <c r="E44" s="19"/>
      <c r="F44" s="32"/>
      <c r="G44" s="32">
        <f>+D44</f>
        <v>8000</v>
      </c>
      <c r="H44" s="32"/>
      <c r="I44" s="32"/>
      <c r="J44" s="72"/>
      <c r="K44" s="19"/>
      <c r="L44" s="19"/>
    </row>
    <row r="45" spans="1:12" x14ac:dyDescent="0.25">
      <c r="A45" s="15" t="s">
        <v>60</v>
      </c>
      <c r="B45" s="18" t="s">
        <v>49</v>
      </c>
      <c r="C45" s="18"/>
      <c r="D45" s="19">
        <v>8000</v>
      </c>
      <c r="E45" s="19"/>
      <c r="F45" s="32"/>
      <c r="G45" s="32"/>
      <c r="H45" s="32">
        <f>+D45</f>
        <v>8000</v>
      </c>
      <c r="I45" s="32"/>
      <c r="J45" s="72"/>
      <c r="K45" s="19"/>
      <c r="L45" s="19"/>
    </row>
    <row r="46" spans="1:12" x14ac:dyDescent="0.25">
      <c r="A46" s="15" t="s">
        <v>60</v>
      </c>
      <c r="B46" s="18" t="s">
        <v>58</v>
      </c>
      <c r="C46" s="18"/>
      <c r="D46" s="19">
        <v>257500</v>
      </c>
      <c r="E46" s="19"/>
      <c r="F46" s="32"/>
      <c r="G46" s="32"/>
      <c r="H46" s="32"/>
      <c r="I46" s="32">
        <f>+D46</f>
        <v>257500</v>
      </c>
      <c r="J46" s="73">
        <f>SUM(E42:I46)</f>
        <v>299500</v>
      </c>
      <c r="K46" s="19">
        <f>IF(J46&gt;L$2,L$2,J46)</f>
        <v>237996.935</v>
      </c>
      <c r="L46" s="19">
        <f>IF(K46=L$2,J46-K46,0)</f>
        <v>61503.065000000002</v>
      </c>
    </row>
    <row r="47" spans="1:12" x14ac:dyDescent="0.25">
      <c r="A47" s="15"/>
      <c r="B47" s="18"/>
      <c r="C47" s="18"/>
      <c r="D47" s="19"/>
      <c r="E47" s="19"/>
      <c r="F47" s="32"/>
      <c r="G47" s="32"/>
      <c r="H47" s="32"/>
      <c r="I47" s="32"/>
      <c r="J47" s="72"/>
      <c r="K47" s="19"/>
      <c r="L47" s="19"/>
    </row>
    <row r="48" spans="1:12" x14ac:dyDescent="0.25">
      <c r="A48" s="15" t="s">
        <v>43</v>
      </c>
      <c r="B48" s="18" t="s">
        <v>41</v>
      </c>
      <c r="C48" s="18"/>
      <c r="D48" s="19">
        <v>350000</v>
      </c>
      <c r="E48" s="19"/>
      <c r="F48" s="32"/>
      <c r="G48" s="32">
        <v>350000</v>
      </c>
      <c r="H48" s="32"/>
      <c r="I48" s="32"/>
      <c r="J48" s="73">
        <f>SUM(E48:G48)</f>
        <v>350000</v>
      </c>
      <c r="K48" s="19">
        <f>IF(J48&gt;L$2,L$2,J48)</f>
        <v>237996.935</v>
      </c>
      <c r="L48" s="19">
        <f>IF(K48=L$2,J48-K48,0)</f>
        <v>112003.065</v>
      </c>
    </row>
    <row r="49" spans="1:12" x14ac:dyDescent="0.25">
      <c r="A49" s="15"/>
      <c r="B49" s="18"/>
      <c r="C49" s="18"/>
      <c r="D49" s="19"/>
      <c r="E49" s="19"/>
      <c r="F49" s="32"/>
      <c r="G49" s="32"/>
      <c r="H49" s="32"/>
      <c r="I49" s="32"/>
      <c r="J49" s="73"/>
      <c r="K49" s="19"/>
      <c r="L49" s="19"/>
    </row>
    <row r="50" spans="1:12" x14ac:dyDescent="0.25">
      <c r="A50" s="15"/>
      <c r="B50" s="18"/>
      <c r="C50" s="18"/>
      <c r="D50" s="19"/>
      <c r="E50" s="19"/>
      <c r="F50" s="32"/>
      <c r="G50" s="32"/>
      <c r="H50" s="32"/>
      <c r="I50" s="32"/>
      <c r="J50" s="71"/>
      <c r="K50" s="19"/>
      <c r="L50" s="19"/>
    </row>
    <row r="51" spans="1:12" x14ac:dyDescent="0.25">
      <c r="A51" s="16"/>
      <c r="B51" s="18"/>
      <c r="C51" s="18"/>
      <c r="D51" s="27"/>
      <c r="E51" s="27"/>
      <c r="F51" s="33"/>
      <c r="G51" s="33"/>
      <c r="H51" s="33"/>
      <c r="I51" s="33"/>
      <c r="J51" s="27"/>
      <c r="K51" s="27"/>
      <c r="L51" s="27"/>
    </row>
    <row r="52" spans="1:12" x14ac:dyDescent="0.25">
      <c r="A52" s="16"/>
      <c r="B52" s="18"/>
      <c r="C52" s="18"/>
      <c r="D52" s="19">
        <f t="shared" ref="D52:L52" si="0">SUM(D4:D51)</f>
        <v>5994808.5</v>
      </c>
      <c r="E52" s="19">
        <f t="shared" si="0"/>
        <v>1173973.75</v>
      </c>
      <c r="F52" s="32">
        <f t="shared" si="0"/>
        <v>1108530.75</v>
      </c>
      <c r="G52" s="32">
        <f t="shared" si="0"/>
        <v>1591244</v>
      </c>
      <c r="H52" s="32">
        <f t="shared" si="0"/>
        <v>1021512</v>
      </c>
      <c r="I52" s="32">
        <f t="shared" si="0"/>
        <v>1099548</v>
      </c>
      <c r="J52" s="19">
        <f t="shared" si="0"/>
        <v>5994808.5</v>
      </c>
      <c r="K52" s="19">
        <f t="shared" si="0"/>
        <v>1594283.11</v>
      </c>
      <c r="L52" s="19">
        <f t="shared" si="0"/>
        <v>4400525.3900000006</v>
      </c>
    </row>
    <row r="53" spans="1:12" x14ac:dyDescent="0.25">
      <c r="E53" s="45">
        <f>+E52-'FY17 excess gifts'!F43</f>
        <v>20000</v>
      </c>
      <c r="F53" s="45">
        <f>+F52-'FY17 excess gifts'!G43</f>
        <v>6025.75</v>
      </c>
      <c r="G53" s="45">
        <f>+G52-'FY17 excess gifts'!H43</f>
        <v>8000</v>
      </c>
      <c r="H53" s="45">
        <f>+H52-'FY17 excess gifts'!I43</f>
        <v>8000</v>
      </c>
    </row>
    <row r="54" spans="1:12" x14ac:dyDescent="0.25">
      <c r="E54" t="s">
        <v>61</v>
      </c>
      <c r="F54" t="s">
        <v>61</v>
      </c>
      <c r="G54" t="s">
        <v>61</v>
      </c>
      <c r="H54" t="s">
        <v>61</v>
      </c>
      <c r="J54" s="45">
        <f>+J52-J15-J28</f>
        <v>5828507</v>
      </c>
    </row>
    <row r="56" spans="1:12" x14ac:dyDescent="0.25">
      <c r="J56" s="45" t="s">
        <v>62</v>
      </c>
      <c r="L56" s="19">
        <v>4400525</v>
      </c>
    </row>
    <row r="58" spans="1:12" x14ac:dyDescent="0.25">
      <c r="J58" t="s">
        <v>63</v>
      </c>
      <c r="L58" s="45">
        <f>+L52-L56</f>
        <v>0.39000000059604645</v>
      </c>
    </row>
    <row r="59" spans="1:12" x14ac:dyDescent="0.25">
      <c r="A59" t="s">
        <v>44</v>
      </c>
    </row>
    <row r="60" spans="1:12" x14ac:dyDescent="0.25">
      <c r="A60" t="s">
        <v>64</v>
      </c>
      <c r="B60" s="45">
        <f>+'FY17 excess gifts'!J43</f>
        <v>6509618.5999999996</v>
      </c>
    </row>
    <row r="61" spans="1:12" x14ac:dyDescent="0.25">
      <c r="A61" t="s">
        <v>65</v>
      </c>
      <c r="B61" s="45">
        <f>-'FY17 excess gifts'!E43</f>
        <v>-1656383.85</v>
      </c>
    </row>
    <row r="62" spans="1:12" x14ac:dyDescent="0.25">
      <c r="A62" t="s">
        <v>66</v>
      </c>
      <c r="B62" s="77">
        <f>+I52</f>
        <v>1099548</v>
      </c>
    </row>
    <row r="63" spans="1:12" x14ac:dyDescent="0.25">
      <c r="B63" s="45">
        <f>SUM(B60:B62)</f>
        <v>5952782.75</v>
      </c>
    </row>
    <row r="64" spans="1:12" x14ac:dyDescent="0.25">
      <c r="B64" s="45">
        <f>+B63-J52</f>
        <v>-42025.75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H7" sqref="H7"/>
    </sheetView>
  </sheetViews>
  <sheetFormatPr defaultRowHeight="15" x14ac:dyDescent="0.25"/>
  <cols>
    <col min="1" max="1" width="19.5703125" bestFit="1" customWidth="1"/>
    <col min="2" max="6" width="13.7109375" customWidth="1"/>
    <col min="7" max="7" width="14.28515625" bestFit="1" customWidth="1"/>
    <col min="8" max="8" width="15.7109375" customWidth="1"/>
    <col min="11" max="11" width="15.28515625" bestFit="1" customWidth="1"/>
  </cols>
  <sheetData>
    <row r="1" spans="1:11" ht="15.75" x14ac:dyDescent="0.25">
      <c r="A1" s="1"/>
      <c r="C1" s="2" t="s">
        <v>0</v>
      </c>
      <c r="D1" s="38"/>
      <c r="E1" s="38"/>
    </row>
    <row r="2" spans="1:11" ht="15.75" x14ac:dyDescent="0.25">
      <c r="A2" s="1"/>
      <c r="C2" s="3" t="s">
        <v>67</v>
      </c>
      <c r="D2" s="38"/>
      <c r="E2" s="38"/>
    </row>
    <row r="3" spans="1:11" x14ac:dyDescent="0.25">
      <c r="A3" s="1"/>
      <c r="B3" s="1"/>
      <c r="C3" s="38"/>
      <c r="D3" s="38"/>
      <c r="E3" s="38"/>
    </row>
    <row r="4" spans="1:11" x14ac:dyDescent="0.25">
      <c r="A4" s="1"/>
      <c r="B4" s="4">
        <v>2014</v>
      </c>
      <c r="C4" s="54">
        <v>2015</v>
      </c>
      <c r="D4" s="50">
        <v>2016</v>
      </c>
      <c r="E4" s="4">
        <v>2017</v>
      </c>
      <c r="F4" s="39">
        <v>2018</v>
      </c>
      <c r="G4" s="61" t="s">
        <v>2</v>
      </c>
    </row>
    <row r="5" spans="1:11" x14ac:dyDescent="0.25">
      <c r="A5" s="1"/>
      <c r="B5" s="4" t="s">
        <v>37</v>
      </c>
      <c r="C5" s="54" t="s">
        <v>41</v>
      </c>
      <c r="D5" s="50" t="s">
        <v>49</v>
      </c>
      <c r="E5" s="4" t="s">
        <v>58</v>
      </c>
      <c r="F5" s="39" t="s">
        <v>68</v>
      </c>
    </row>
    <row r="6" spans="1:11" x14ac:dyDescent="0.25">
      <c r="A6" s="1"/>
      <c r="D6" s="30"/>
      <c r="E6" s="74"/>
      <c r="K6" t="s">
        <v>69</v>
      </c>
    </row>
    <row r="7" spans="1:11" ht="90" x14ac:dyDescent="0.25">
      <c r="A7" s="1" t="s">
        <v>8</v>
      </c>
      <c r="B7" s="45">
        <f>+'FY18 sched A'!C7</f>
        <v>1640170</v>
      </c>
      <c r="C7" s="45">
        <f>+'FY18 sched A'!D7</f>
        <v>2083086</v>
      </c>
      <c r="D7" s="65">
        <f>+'FY18 sched A'!E7</f>
        <v>1858634</v>
      </c>
      <c r="E7" s="75">
        <f>+'FY18 sched A'!F7</f>
        <v>2125041</v>
      </c>
      <c r="F7" s="59">
        <f>+(K7*1.05)+'FY19 excess gifts'!I9+'FY19 excess gifts'!D44</f>
        <v>2804676.05</v>
      </c>
      <c r="G7" s="45">
        <f>SUM(B7:F7)</f>
        <v>10511607.050000001</v>
      </c>
      <c r="H7" s="53" t="s">
        <v>70</v>
      </c>
      <c r="K7" s="58">
        <f>+E7-'FY19 excess gifts'!H8</f>
        <v>1619041</v>
      </c>
    </row>
    <row r="8" spans="1:11" x14ac:dyDescent="0.25">
      <c r="A8" s="1"/>
      <c r="D8" s="30"/>
      <c r="E8" s="74"/>
      <c r="F8" s="37"/>
    </row>
    <row r="9" spans="1:11" x14ac:dyDescent="0.25">
      <c r="A9" s="1" t="s">
        <v>9</v>
      </c>
      <c r="D9" s="30"/>
      <c r="E9" s="74"/>
      <c r="F9" s="37"/>
      <c r="G9" s="45">
        <f>+'FY19 excess gifts'!L47</f>
        <v>4492707.154000001</v>
      </c>
    </row>
    <row r="10" spans="1:11" x14ac:dyDescent="0.25">
      <c r="A10" s="1"/>
      <c r="D10" s="30"/>
      <c r="E10" s="74"/>
      <c r="F10" s="37"/>
    </row>
    <row r="11" spans="1:11" x14ac:dyDescent="0.25">
      <c r="A11" s="1" t="s">
        <v>10</v>
      </c>
      <c r="D11" s="30"/>
      <c r="E11" s="74"/>
      <c r="F11" s="37"/>
      <c r="G11" s="45">
        <f>+G7-G9</f>
        <v>6018899.8959999997</v>
      </c>
    </row>
    <row r="12" spans="1:11" x14ac:dyDescent="0.25">
      <c r="A12" s="1"/>
      <c r="D12" s="30"/>
      <c r="E12" s="74"/>
      <c r="F12" s="37"/>
    </row>
    <row r="13" spans="1:11" x14ac:dyDescent="0.25">
      <c r="A13" s="1" t="s">
        <v>11</v>
      </c>
      <c r="B13" s="58">
        <f>+'FY18 sched A'!C13</f>
        <v>1640170</v>
      </c>
      <c r="C13" s="58">
        <f>+'FY18 sched A'!D13</f>
        <v>2083086</v>
      </c>
      <c r="D13" s="66">
        <f>+'FY18 sched A'!E13</f>
        <v>1858634</v>
      </c>
      <c r="E13" s="76">
        <f>+'FY18 sched A'!F13</f>
        <v>2125041</v>
      </c>
      <c r="F13" s="60">
        <f>+F7</f>
        <v>2804676.05</v>
      </c>
      <c r="G13" s="45">
        <f>SUM(B13:F13)</f>
        <v>10511607.050000001</v>
      </c>
    </row>
    <row r="14" spans="1:11" x14ac:dyDescent="0.25">
      <c r="A14" s="1"/>
      <c r="D14" s="66"/>
      <c r="E14" s="76"/>
      <c r="F14" s="60"/>
    </row>
    <row r="15" spans="1:11" x14ac:dyDescent="0.25">
      <c r="A15" s="1" t="s">
        <v>12</v>
      </c>
      <c r="B15" s="58">
        <f>+'FY18 sched A'!C15</f>
        <v>501147</v>
      </c>
      <c r="C15" s="58">
        <f>+'FY18 sched A'!D15</f>
        <v>442593</v>
      </c>
      <c r="D15" s="66">
        <f>+'FY18 sched A'!E15</f>
        <v>568444</v>
      </c>
      <c r="E15" s="76">
        <f>+'FY18 sched A'!F15</f>
        <v>697096</v>
      </c>
      <c r="F15" s="60">
        <f>AVERAGE(B15:E15)</f>
        <v>552320</v>
      </c>
      <c r="G15" s="58">
        <f>SUM(B15:F15)</f>
        <v>2761600</v>
      </c>
    </row>
    <row r="16" spans="1:11" x14ac:dyDescent="0.25">
      <c r="A16" s="1"/>
    </row>
    <row r="17" spans="1:7" x14ac:dyDescent="0.25">
      <c r="A17" s="1" t="s">
        <v>13</v>
      </c>
      <c r="G17" s="58">
        <f>+G13+G15</f>
        <v>13273207.050000001</v>
      </c>
    </row>
    <row r="18" spans="1:7" x14ac:dyDescent="0.25">
      <c r="A18" s="1" t="s">
        <v>15</v>
      </c>
      <c r="G18" s="58">
        <f>+G17*0.02</f>
        <v>265464.141</v>
      </c>
    </row>
    <row r="19" spans="1:7" x14ac:dyDescent="0.25">
      <c r="A19" s="1"/>
    </row>
    <row r="20" spans="1:7" x14ac:dyDescent="0.25">
      <c r="A20" s="1" t="s">
        <v>16</v>
      </c>
      <c r="G20" s="10">
        <f>+G11/G17</f>
        <v>0.45346236771014581</v>
      </c>
    </row>
    <row r="23" spans="1:7" x14ac:dyDescent="0.25">
      <c r="B23" t="s">
        <v>71</v>
      </c>
      <c r="C23" s="44">
        <f>+'FY18 sched A'!G20</f>
        <v>0.40638349901438853</v>
      </c>
    </row>
    <row r="24" spans="1:7" x14ac:dyDescent="0.25">
      <c r="B24" t="s">
        <v>59</v>
      </c>
      <c r="C24" s="44">
        <f>+'FY18 sched A'!C22</f>
        <v>0.38375158873609949</v>
      </c>
    </row>
    <row r="25" spans="1:7" x14ac:dyDescent="0.25">
      <c r="B25" t="s">
        <v>50</v>
      </c>
      <c r="C25" s="44">
        <f>+'FY18 sched A'!C23</f>
        <v>0.39761149543575552</v>
      </c>
    </row>
    <row r="26" spans="1:7" x14ac:dyDescent="0.25">
      <c r="B26" t="s">
        <v>42</v>
      </c>
      <c r="C26" s="44">
        <f>+'FY18 sched A'!C24</f>
        <v>0.39350000000000002</v>
      </c>
    </row>
    <row r="27" spans="1:7" x14ac:dyDescent="0.25">
      <c r="B27" s="5" t="s">
        <v>39</v>
      </c>
      <c r="C27" s="44">
        <f>+'FY18 sched A'!C25</f>
        <v>0.39360000000000001</v>
      </c>
    </row>
    <row r="28" spans="1:7" x14ac:dyDescent="0.25">
      <c r="B28" s="5" t="s">
        <v>17</v>
      </c>
      <c r="C28" s="44">
        <f>+'FY18 sched A'!C26</f>
        <v>0.39019999999999999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D9" sqref="D9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7" width="13.5703125" bestFit="1" customWidth="1"/>
    <col min="8" max="8" width="13.28515625" bestFit="1" customWidth="1"/>
    <col min="9" max="9" width="13.5703125" bestFit="1" customWidth="1"/>
    <col min="10" max="10" width="20.140625" bestFit="1" customWidth="1"/>
    <col min="11" max="12" width="13.5703125" bestFit="1" customWidth="1"/>
    <col min="14" max="14" width="20.28515625" bestFit="1" customWidth="1"/>
  </cols>
  <sheetData>
    <row r="1" spans="1:14" x14ac:dyDescent="0.25">
      <c r="A1" s="12"/>
      <c r="B1" s="12"/>
      <c r="C1" s="12"/>
      <c r="D1" s="13"/>
    </row>
    <row r="2" spans="1:14" x14ac:dyDescent="0.25">
      <c r="A2" s="15" t="s">
        <v>18</v>
      </c>
      <c r="B2" s="15" t="s">
        <v>19</v>
      </c>
      <c r="C2" s="15"/>
      <c r="D2" s="15" t="s">
        <v>20</v>
      </c>
      <c r="E2" s="31" t="s">
        <v>37</v>
      </c>
      <c r="F2" s="16" t="s">
        <v>41</v>
      </c>
      <c r="G2" s="16" t="s">
        <v>49</v>
      </c>
      <c r="H2" s="16" t="s">
        <v>58</v>
      </c>
      <c r="I2" s="16" t="s">
        <v>68</v>
      </c>
      <c r="J2" s="15" t="s">
        <v>25</v>
      </c>
      <c r="K2" s="12" t="s">
        <v>26</v>
      </c>
      <c r="L2" s="58">
        <f>+'FY19 sched A'!G18</f>
        <v>265464.141</v>
      </c>
    </row>
    <row r="3" spans="1:14" x14ac:dyDescent="0.25">
      <c r="A3" s="15"/>
      <c r="B3" s="18"/>
      <c r="C3" s="18"/>
      <c r="D3" s="19"/>
    </row>
    <row r="4" spans="1:14" x14ac:dyDescent="0.25">
      <c r="A4" s="15"/>
      <c r="B4" s="18"/>
      <c r="C4" s="18"/>
      <c r="D4" s="19"/>
    </row>
    <row r="5" spans="1:14" x14ac:dyDescent="0.25">
      <c r="A5" s="15" t="s">
        <v>72</v>
      </c>
      <c r="B5" s="18" t="s">
        <v>37</v>
      </c>
      <c r="D5" s="19">
        <f>+'FY18 excess gifts'!D6</f>
        <v>685404</v>
      </c>
      <c r="E5" s="45">
        <f>+D5</f>
        <v>685404</v>
      </c>
    </row>
    <row r="6" spans="1:14" x14ac:dyDescent="0.25">
      <c r="A6" s="15" t="s">
        <v>72</v>
      </c>
      <c r="B6" s="18" t="s">
        <v>41</v>
      </c>
      <c r="D6" s="19">
        <f>+'FY18 excess gifts'!D7</f>
        <v>750994</v>
      </c>
      <c r="F6" s="45">
        <f>+D6</f>
        <v>750994</v>
      </c>
    </row>
    <row r="7" spans="1:14" x14ac:dyDescent="0.25">
      <c r="A7" s="15" t="s">
        <v>72</v>
      </c>
      <c r="B7" s="18" t="s">
        <v>49</v>
      </c>
      <c r="D7" s="19">
        <f>+'FY18 excess gifts'!D8</f>
        <v>580239</v>
      </c>
      <c r="G7" s="45">
        <f>+D7</f>
        <v>580239</v>
      </c>
    </row>
    <row r="8" spans="1:14" x14ac:dyDescent="0.25">
      <c r="A8" s="15" t="s">
        <v>72</v>
      </c>
      <c r="B8" s="18" t="s">
        <v>58</v>
      </c>
      <c r="D8" s="72">
        <f>+'FY18 excess gifts'!D9</f>
        <v>506000</v>
      </c>
      <c r="H8" s="58">
        <f>+D8</f>
        <v>506000</v>
      </c>
    </row>
    <row r="9" spans="1:14" x14ac:dyDescent="0.25">
      <c r="A9" s="15" t="s">
        <v>72</v>
      </c>
      <c r="B9" s="18" t="s">
        <v>68</v>
      </c>
      <c r="D9" s="26">
        <f>225000+307000+48000+104683</f>
        <v>684683</v>
      </c>
      <c r="I9" s="58">
        <f>+D9</f>
        <v>684683</v>
      </c>
      <c r="J9" s="45">
        <f>SUM(E5:I9)</f>
        <v>3207320</v>
      </c>
      <c r="K9" s="19">
        <f>IF(J9&gt;L$2,L$2,J9)</f>
        <v>265464.141</v>
      </c>
      <c r="L9" s="19">
        <f>IF(K9=L$2,J9-K9,0)</f>
        <v>2941855.8590000002</v>
      </c>
      <c r="N9" s="47"/>
    </row>
    <row r="10" spans="1:14" x14ac:dyDescent="0.25">
      <c r="A10" s="23"/>
      <c r="B10" s="18"/>
      <c r="C10" s="18"/>
      <c r="D10" s="19"/>
    </row>
    <row r="11" spans="1:14" x14ac:dyDescent="0.25">
      <c r="A11" s="15"/>
      <c r="B11" s="18"/>
      <c r="C11" s="18"/>
      <c r="D11" s="19"/>
    </row>
    <row r="12" spans="1:14" x14ac:dyDescent="0.25">
      <c r="A12" s="15" t="s">
        <v>29</v>
      </c>
      <c r="B12" s="18" t="s">
        <v>37</v>
      </c>
      <c r="C12" s="18"/>
      <c r="D12" s="19">
        <f>+'FY18 excess gifts'!D18</f>
        <v>35000</v>
      </c>
      <c r="E12" s="45">
        <f>+D12</f>
        <v>35000</v>
      </c>
    </row>
    <row r="13" spans="1:14" x14ac:dyDescent="0.25">
      <c r="A13" s="15" t="s">
        <v>29</v>
      </c>
      <c r="B13" s="18" t="s">
        <v>41</v>
      </c>
      <c r="C13" s="18"/>
      <c r="D13" s="19">
        <f>+'FY18 excess gifts'!D19</f>
        <v>85000</v>
      </c>
      <c r="F13" s="45">
        <f>+D13</f>
        <v>85000</v>
      </c>
    </row>
    <row r="14" spans="1:14" x14ac:dyDescent="0.25">
      <c r="A14" s="15" t="s">
        <v>29</v>
      </c>
      <c r="B14" s="18" t="s">
        <v>49</v>
      </c>
      <c r="C14" s="18"/>
      <c r="D14" s="19">
        <f>+'FY18 excess gifts'!D20</f>
        <v>86023</v>
      </c>
      <c r="G14" s="45">
        <f>+D14</f>
        <v>86023</v>
      </c>
    </row>
    <row r="15" spans="1:14" x14ac:dyDescent="0.25">
      <c r="A15" s="15" t="s">
        <v>29</v>
      </c>
      <c r="B15" s="18" t="s">
        <v>58</v>
      </c>
      <c r="C15" s="18"/>
      <c r="D15" s="72">
        <f>+'FY18 excess gifts'!D21</f>
        <v>110798</v>
      </c>
      <c r="H15" s="45">
        <f>+D15</f>
        <v>110798</v>
      </c>
      <c r="J15" s="45"/>
    </row>
    <row r="16" spans="1:14" x14ac:dyDescent="0.25">
      <c r="A16" s="15" t="s">
        <v>29</v>
      </c>
      <c r="B16" s="18" t="s">
        <v>68</v>
      </c>
      <c r="C16" s="18"/>
      <c r="D16" s="63">
        <f>36000+78000</f>
        <v>114000</v>
      </c>
      <c r="I16" s="45">
        <f>+D16</f>
        <v>114000</v>
      </c>
      <c r="J16" s="45">
        <f>SUM(E12:I16)</f>
        <v>430821</v>
      </c>
      <c r="K16" s="19">
        <f>IF(J16&gt;L$2,L$2,J16)</f>
        <v>265464.141</v>
      </c>
      <c r="L16" s="19">
        <f>IF(K16=L$2,J16-K16,0)</f>
        <v>165356.859</v>
      </c>
    </row>
    <row r="17" spans="1:12" x14ac:dyDescent="0.25">
      <c r="A17" s="15"/>
      <c r="B17" s="18"/>
      <c r="C17" s="18"/>
      <c r="D17" s="19"/>
    </row>
    <row r="18" spans="1:12" x14ac:dyDescent="0.25">
      <c r="A18" s="15"/>
      <c r="B18" s="18"/>
      <c r="C18" s="18"/>
      <c r="D18" s="19"/>
    </row>
    <row r="19" spans="1:12" x14ac:dyDescent="0.25">
      <c r="A19" s="15" t="s">
        <v>30</v>
      </c>
      <c r="B19" s="18" t="s">
        <v>37</v>
      </c>
      <c r="D19" s="19">
        <f>+'FY18 excess gifts'!D25</f>
        <v>10000</v>
      </c>
      <c r="E19" s="45">
        <f>+D19</f>
        <v>10000</v>
      </c>
    </row>
    <row r="20" spans="1:12" x14ac:dyDescent="0.25">
      <c r="A20" s="15" t="s">
        <v>30</v>
      </c>
      <c r="B20" s="18" t="s">
        <v>41</v>
      </c>
      <c r="D20" s="19">
        <f>+'FY18 excess gifts'!D26</f>
        <v>35000</v>
      </c>
      <c r="F20" s="45">
        <f>+D20</f>
        <v>35000</v>
      </c>
    </row>
    <row r="21" spans="1:12" x14ac:dyDescent="0.25">
      <c r="A21" s="15" t="s">
        <v>30</v>
      </c>
      <c r="B21" s="18" t="s">
        <v>49</v>
      </c>
      <c r="D21" s="19">
        <f>+'FY18 excess gifts'!D27</f>
        <v>25000</v>
      </c>
      <c r="G21" s="45">
        <f>+D21</f>
        <v>25000</v>
      </c>
    </row>
    <row r="22" spans="1:12" x14ac:dyDescent="0.25">
      <c r="A22" s="15" t="s">
        <v>30</v>
      </c>
      <c r="B22" s="18" t="s">
        <v>58</v>
      </c>
      <c r="D22" s="72">
        <f>+'FY18 excess gifts'!D28</f>
        <v>0</v>
      </c>
      <c r="H22" s="45">
        <f>+D22</f>
        <v>0</v>
      </c>
    </row>
    <row r="23" spans="1:12" x14ac:dyDescent="0.25">
      <c r="A23" s="15" t="s">
        <v>30</v>
      </c>
      <c r="B23" s="18" t="s">
        <v>68</v>
      </c>
      <c r="D23" s="63">
        <v>0</v>
      </c>
      <c r="I23" s="45">
        <f>+D23</f>
        <v>0</v>
      </c>
      <c r="J23" s="45">
        <f>SUM(E19:I23)</f>
        <v>70000</v>
      </c>
      <c r="K23" s="19">
        <f>IF(J23&gt;L$2,L$2,J23)</f>
        <v>70000</v>
      </c>
      <c r="L23" s="19">
        <f>IF(K23=L$2,J23-K23,0)</f>
        <v>0</v>
      </c>
    </row>
    <row r="24" spans="1:12" x14ac:dyDescent="0.25">
      <c r="A24" s="15"/>
      <c r="B24" s="18"/>
      <c r="C24" s="18"/>
      <c r="D24" s="19"/>
    </row>
    <row r="25" spans="1:12" x14ac:dyDescent="0.25">
      <c r="A25" s="15" t="s">
        <v>31</v>
      </c>
      <c r="B25" s="18" t="s">
        <v>37</v>
      </c>
      <c r="D25" s="19">
        <f>+'FY18 excess gifts'!D31</f>
        <v>204000</v>
      </c>
      <c r="E25" s="45">
        <f>+D25</f>
        <v>204000</v>
      </c>
    </row>
    <row r="26" spans="1:12" x14ac:dyDescent="0.25">
      <c r="A26" s="15" t="s">
        <v>31</v>
      </c>
      <c r="B26" s="18" t="s">
        <v>41</v>
      </c>
      <c r="D26" s="19">
        <f>+'FY18 excess gifts'!D32</f>
        <v>100000</v>
      </c>
      <c r="F26" s="45">
        <f>+D26</f>
        <v>100000</v>
      </c>
    </row>
    <row r="27" spans="1:12" x14ac:dyDescent="0.25">
      <c r="A27" s="15" t="s">
        <v>31</v>
      </c>
      <c r="B27" s="18" t="s">
        <v>49</v>
      </c>
      <c r="D27" s="19">
        <f>+'FY18 excess gifts'!D33</f>
        <v>100000</v>
      </c>
      <c r="G27" s="45">
        <f>+D27</f>
        <v>100000</v>
      </c>
    </row>
    <row r="28" spans="1:12" x14ac:dyDescent="0.25">
      <c r="A28" s="15" t="s">
        <v>31</v>
      </c>
      <c r="B28" s="18" t="s">
        <v>58</v>
      </c>
      <c r="D28" s="72">
        <f>+'FY18 excess gifts'!D34</f>
        <v>100000</v>
      </c>
      <c r="H28" s="45">
        <f>+D28</f>
        <v>100000</v>
      </c>
    </row>
    <row r="29" spans="1:12" x14ac:dyDescent="0.25">
      <c r="A29" s="15" t="s">
        <v>31</v>
      </c>
      <c r="B29" s="18" t="s">
        <v>68</v>
      </c>
      <c r="D29" s="26">
        <v>25000</v>
      </c>
      <c r="I29" s="45">
        <f>+D29</f>
        <v>25000</v>
      </c>
      <c r="J29" s="45">
        <f>SUM(E25:I29)</f>
        <v>529000</v>
      </c>
      <c r="K29" s="19">
        <f>IF(J29&gt;L$2,L$2,J29)</f>
        <v>265464.141</v>
      </c>
      <c r="L29" s="19">
        <f>IF(K29=L$2,J29-K29,0)</f>
        <v>263535.859</v>
      </c>
    </row>
    <row r="30" spans="1:12" x14ac:dyDescent="0.25">
      <c r="A30" s="15"/>
      <c r="B30" s="18"/>
      <c r="C30" s="18"/>
      <c r="D30" s="19"/>
    </row>
    <row r="31" spans="1:12" x14ac:dyDescent="0.25">
      <c r="A31" s="15" t="s">
        <v>34</v>
      </c>
      <c r="B31" s="18" t="s">
        <v>37</v>
      </c>
      <c r="C31" s="18"/>
      <c r="D31" s="19">
        <f>+'FY18 excess gifts'!D37</f>
        <v>165851</v>
      </c>
      <c r="E31" s="45">
        <f>+D31</f>
        <v>165851</v>
      </c>
    </row>
    <row r="32" spans="1:12" x14ac:dyDescent="0.25">
      <c r="A32" s="15" t="s">
        <v>34</v>
      </c>
      <c r="B32" s="18" t="s">
        <v>41</v>
      </c>
      <c r="C32" s="18"/>
      <c r="D32" s="19">
        <f>+'FY18 excess gifts'!D38</f>
        <v>260000</v>
      </c>
      <c r="F32" s="45">
        <f>+D32</f>
        <v>260000</v>
      </c>
    </row>
    <row r="33" spans="1:12" x14ac:dyDescent="0.25">
      <c r="A33" s="15" t="s">
        <v>34</v>
      </c>
      <c r="B33" s="18" t="s">
        <v>49</v>
      </c>
      <c r="C33" s="18"/>
      <c r="D33" s="19">
        <f>+'FY18 excess gifts'!D39</f>
        <v>220000</v>
      </c>
      <c r="G33" s="45">
        <f>+D33</f>
        <v>220000</v>
      </c>
    </row>
    <row r="34" spans="1:12" x14ac:dyDescent="0.25">
      <c r="A34" s="15" t="s">
        <v>34</v>
      </c>
      <c r="B34" s="18" t="s">
        <v>58</v>
      </c>
      <c r="C34" s="18"/>
      <c r="D34" s="72">
        <f>+'FY18 excess gifts'!D40</f>
        <v>123000</v>
      </c>
      <c r="H34" s="45">
        <f>+D34</f>
        <v>123000</v>
      </c>
    </row>
    <row r="35" spans="1:12" x14ac:dyDescent="0.25">
      <c r="A35" s="15" t="s">
        <v>34</v>
      </c>
      <c r="B35" s="18" t="s">
        <v>68</v>
      </c>
      <c r="C35" s="18"/>
      <c r="D35" s="26">
        <v>100000</v>
      </c>
      <c r="I35" s="45">
        <f>+D35</f>
        <v>100000</v>
      </c>
      <c r="J35" s="45">
        <f>SUM(E31:I35)</f>
        <v>868851</v>
      </c>
      <c r="K35" s="19">
        <f>IF(J35&gt;L$2,L$2,J35)</f>
        <v>265464.141</v>
      </c>
      <c r="L35" s="19">
        <f>IF(K35=L$2,J35-K35,0)</f>
        <v>603386.85899999994</v>
      </c>
    </row>
    <row r="36" spans="1:12" x14ac:dyDescent="0.25">
      <c r="A36" s="15"/>
      <c r="B36" s="18"/>
      <c r="C36" s="18"/>
      <c r="D36" s="19"/>
    </row>
    <row r="37" spans="1:12" x14ac:dyDescent="0.25">
      <c r="A37" s="15" t="s">
        <v>60</v>
      </c>
      <c r="B37" s="18" t="s">
        <v>37</v>
      </c>
      <c r="C37" s="18"/>
      <c r="D37" s="19">
        <f>+'FY18 excess gifts'!D43</f>
        <v>6000</v>
      </c>
      <c r="E37" s="45">
        <f>+D37</f>
        <v>6000</v>
      </c>
    </row>
    <row r="38" spans="1:12" x14ac:dyDescent="0.25">
      <c r="A38" s="15" t="s">
        <v>60</v>
      </c>
      <c r="B38" s="18" t="s">
        <v>41</v>
      </c>
      <c r="C38" s="18"/>
      <c r="D38" s="19">
        <f>+'FY18 excess gifts'!D44</f>
        <v>8000</v>
      </c>
      <c r="F38" s="45">
        <f>+D38</f>
        <v>8000</v>
      </c>
    </row>
    <row r="39" spans="1:12" x14ac:dyDescent="0.25">
      <c r="A39" s="15" t="s">
        <v>60</v>
      </c>
      <c r="B39" s="18" t="s">
        <v>49</v>
      </c>
      <c r="C39" s="18"/>
      <c r="D39" s="19">
        <f>+'FY18 excess gifts'!D45</f>
        <v>8000</v>
      </c>
      <c r="G39" s="45">
        <f>+D39</f>
        <v>8000</v>
      </c>
    </row>
    <row r="40" spans="1:12" x14ac:dyDescent="0.25">
      <c r="A40" s="15" t="s">
        <v>60</v>
      </c>
      <c r="B40" s="18" t="s">
        <v>58</v>
      </c>
      <c r="C40" s="18"/>
      <c r="D40" s="19">
        <f>+'FY18 excess gifts'!D46</f>
        <v>257500</v>
      </c>
      <c r="H40" s="45">
        <f>+D40</f>
        <v>257500</v>
      </c>
    </row>
    <row r="41" spans="1:12" x14ac:dyDescent="0.25">
      <c r="A41" s="15" t="s">
        <v>60</v>
      </c>
      <c r="B41" s="18" t="s">
        <v>68</v>
      </c>
      <c r="C41" s="18"/>
      <c r="D41" s="19">
        <v>0</v>
      </c>
      <c r="I41" s="45">
        <f>+D41</f>
        <v>0</v>
      </c>
      <c r="J41" s="45">
        <f>SUM(E37:I41)</f>
        <v>279500</v>
      </c>
      <c r="K41" s="19">
        <f>IF(J41&gt;L$2,L$2,J41)</f>
        <v>265464.141</v>
      </c>
      <c r="L41" s="19">
        <f>IF(K41=L$2,J41-K41,0)</f>
        <v>14035.858999999997</v>
      </c>
    </row>
    <row r="42" spans="1:12" x14ac:dyDescent="0.25">
      <c r="A42" s="15"/>
      <c r="B42" s="18"/>
      <c r="C42" s="18"/>
      <c r="D42" s="19"/>
    </row>
    <row r="43" spans="1:12" x14ac:dyDescent="0.25">
      <c r="A43" s="15" t="s">
        <v>43</v>
      </c>
      <c r="B43" s="18" t="s">
        <v>41</v>
      </c>
      <c r="C43" s="18"/>
      <c r="D43" s="19">
        <v>350000</v>
      </c>
      <c r="F43" s="45">
        <f>+D43</f>
        <v>350000</v>
      </c>
      <c r="J43" s="45"/>
      <c r="K43" s="19"/>
      <c r="L43" s="19"/>
    </row>
    <row r="44" spans="1:12" x14ac:dyDescent="0.25">
      <c r="A44" s="15" t="s">
        <v>43</v>
      </c>
      <c r="B44" s="18" t="s">
        <v>68</v>
      </c>
      <c r="C44" s="18"/>
      <c r="D44" s="26">
        <v>420000</v>
      </c>
      <c r="I44" s="45">
        <f>+D44</f>
        <v>420000</v>
      </c>
      <c r="J44" s="45">
        <f>SUM(E43:I44)</f>
        <v>770000</v>
      </c>
      <c r="K44" s="19">
        <f>IF(J44&gt;L$2,L$2,J44)</f>
        <v>265464.141</v>
      </c>
      <c r="L44" s="19">
        <f>IF(K44=L$2,J44-K44,0)</f>
        <v>504535.859</v>
      </c>
    </row>
    <row r="45" spans="1:12" x14ac:dyDescent="0.25">
      <c r="A45" s="15"/>
      <c r="B45" s="18"/>
      <c r="C45" s="18"/>
      <c r="D45" s="19"/>
    </row>
    <row r="46" spans="1:12" x14ac:dyDescent="0.25">
      <c r="A46" s="16"/>
      <c r="B46" s="18"/>
      <c r="C46" s="18"/>
      <c r="D46" s="27"/>
      <c r="E46" s="62"/>
      <c r="F46" s="62"/>
      <c r="G46" s="62"/>
      <c r="H46" s="62"/>
      <c r="I46" s="62"/>
      <c r="J46" s="62"/>
      <c r="K46" s="62"/>
      <c r="L46" s="62"/>
    </row>
    <row r="47" spans="1:12" x14ac:dyDescent="0.25">
      <c r="A47" s="16"/>
      <c r="B47" s="18"/>
      <c r="C47" s="18"/>
      <c r="D47" s="19">
        <f>SUM(D5:D46)</f>
        <v>6155492</v>
      </c>
      <c r="E47" s="45">
        <f>SUM(E5:E46)</f>
        <v>1106255</v>
      </c>
      <c r="F47" s="45">
        <f t="shared" ref="F47:I47" si="0">SUM(F5:F46)</f>
        <v>1588994</v>
      </c>
      <c r="G47" s="45">
        <f t="shared" si="0"/>
        <v>1019262</v>
      </c>
      <c r="H47" s="45">
        <f t="shared" si="0"/>
        <v>1097298</v>
      </c>
      <c r="I47" s="45">
        <f t="shared" si="0"/>
        <v>1343683</v>
      </c>
      <c r="J47" s="45">
        <f>SUM(J9:J46)</f>
        <v>6155492</v>
      </c>
      <c r="K47" s="45">
        <f t="shared" ref="K47:L47" si="1">SUM(K9:K46)</f>
        <v>1662784.8460000001</v>
      </c>
      <c r="L47" s="45">
        <f t="shared" si="1"/>
        <v>4492707.154000001</v>
      </c>
    </row>
    <row r="48" spans="1:12" x14ac:dyDescent="0.25">
      <c r="E48" s="45">
        <f>+E47-'FY18 excess gifts'!F52</f>
        <v>-2275.75</v>
      </c>
      <c r="F48" s="45">
        <f>+F47-'FY18 excess gifts'!G52</f>
        <v>-2250</v>
      </c>
      <c r="G48" s="45">
        <f>+G47-'FY18 excess gifts'!H52</f>
        <v>-2250</v>
      </c>
      <c r="H48" s="45">
        <f>+H47-'FY18 excess gifts'!I52</f>
        <v>-2250</v>
      </c>
    </row>
    <row r="49" spans="1:8" x14ac:dyDescent="0.25">
      <c r="E49" t="s">
        <v>73</v>
      </c>
      <c r="F49" t="s">
        <v>73</v>
      </c>
      <c r="G49" t="s">
        <v>73</v>
      </c>
      <c r="H49" t="s">
        <v>73</v>
      </c>
    </row>
    <row r="52" spans="1:8" x14ac:dyDescent="0.25">
      <c r="A52" t="s">
        <v>44</v>
      </c>
    </row>
    <row r="53" spans="1:8" x14ac:dyDescent="0.25">
      <c r="A53" t="s">
        <v>74</v>
      </c>
      <c r="B53" s="45">
        <f>+'FY18 excess gifts'!J52</f>
        <v>5994808.5</v>
      </c>
      <c r="E53" s="78" t="s">
        <v>75</v>
      </c>
      <c r="F53" s="78"/>
      <c r="G53" s="78"/>
      <c r="H53" s="78"/>
    </row>
    <row r="54" spans="1:8" x14ac:dyDescent="0.25">
      <c r="A54" t="s">
        <v>76</v>
      </c>
      <c r="B54" s="45">
        <f>-'FY18 excess gifts'!E52</f>
        <v>-1173973.75</v>
      </c>
    </row>
    <row r="55" spans="1:8" x14ac:dyDescent="0.25">
      <c r="A55" t="s">
        <v>77</v>
      </c>
      <c r="B55" s="77">
        <f>+I47</f>
        <v>1343683</v>
      </c>
      <c r="E55" s="22"/>
      <c r="F55" s="22"/>
      <c r="G55" s="22"/>
      <c r="H55" s="22"/>
    </row>
    <row r="56" spans="1:8" x14ac:dyDescent="0.25">
      <c r="B56" s="45">
        <f>SUM(B53:B55)</f>
        <v>6164517.75</v>
      </c>
      <c r="E56" s="22"/>
      <c r="F56" s="22"/>
      <c r="G56" s="22"/>
      <c r="H56" s="22"/>
    </row>
    <row r="57" spans="1:8" x14ac:dyDescent="0.25">
      <c r="B57" s="45">
        <f>+B56-J47</f>
        <v>9025.75</v>
      </c>
      <c r="C57" t="s">
        <v>73</v>
      </c>
      <c r="E57" s="22"/>
      <c r="F57" s="22"/>
      <c r="G57" s="22"/>
      <c r="H57" s="22"/>
    </row>
    <row r="58" spans="1:8" x14ac:dyDescent="0.25">
      <c r="E58" s="22"/>
      <c r="F58" s="22"/>
      <c r="G58" s="22"/>
      <c r="H58" s="2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K7" sqref="K7"/>
    </sheetView>
  </sheetViews>
  <sheetFormatPr defaultRowHeight="15" x14ac:dyDescent="0.25"/>
  <cols>
    <col min="1" max="1" width="19.5703125" bestFit="1" customWidth="1"/>
    <col min="2" max="6" width="13.7109375" customWidth="1"/>
    <col min="7" max="7" width="14.5703125" bestFit="1" customWidth="1"/>
    <col min="8" max="8" width="26.7109375" customWidth="1"/>
    <col min="11" max="11" width="15.28515625" bestFit="1" customWidth="1"/>
  </cols>
  <sheetData>
    <row r="1" spans="1:11" ht="15.75" x14ac:dyDescent="0.25">
      <c r="A1" s="1"/>
      <c r="C1" s="2" t="s">
        <v>0</v>
      </c>
      <c r="D1" s="38"/>
    </row>
    <row r="2" spans="1:11" ht="15.75" x14ac:dyDescent="0.25">
      <c r="A2" s="1"/>
      <c r="C2" s="3" t="s">
        <v>78</v>
      </c>
      <c r="D2" s="38"/>
    </row>
    <row r="3" spans="1:11" x14ac:dyDescent="0.25">
      <c r="A3" s="1"/>
      <c r="B3" s="38"/>
      <c r="C3" s="38"/>
      <c r="D3" s="38"/>
    </row>
    <row r="4" spans="1:11" x14ac:dyDescent="0.25">
      <c r="A4" s="1"/>
      <c r="B4" s="54">
        <v>2015</v>
      </c>
      <c r="C4" s="50">
        <v>2016</v>
      </c>
      <c r="D4" s="4">
        <v>2017</v>
      </c>
      <c r="E4" s="39">
        <v>2018</v>
      </c>
      <c r="F4" s="39">
        <v>2019</v>
      </c>
      <c r="G4" s="61" t="s">
        <v>2</v>
      </c>
    </row>
    <row r="5" spans="1:11" x14ac:dyDescent="0.25">
      <c r="A5" s="1"/>
      <c r="B5" s="54" t="s">
        <v>41</v>
      </c>
      <c r="C5" s="50" t="s">
        <v>49</v>
      </c>
      <c r="D5" s="4" t="s">
        <v>58</v>
      </c>
      <c r="E5" s="39" t="s">
        <v>68</v>
      </c>
      <c r="F5" s="39" t="s">
        <v>79</v>
      </c>
    </row>
    <row r="6" spans="1:11" x14ac:dyDescent="0.25">
      <c r="A6" s="1"/>
      <c r="C6" s="30"/>
      <c r="D6" s="74"/>
      <c r="K6" s="78" t="s">
        <v>80</v>
      </c>
    </row>
    <row r="7" spans="1:11" ht="45" x14ac:dyDescent="0.25">
      <c r="A7" s="1" t="s">
        <v>8</v>
      </c>
      <c r="B7" s="45">
        <f>+'FY19 sched A'!C7</f>
        <v>2083086</v>
      </c>
      <c r="C7" s="65">
        <f>+'FY19 sched A'!D7</f>
        <v>1858634</v>
      </c>
      <c r="D7" s="75">
        <f>+'FY19 sched A'!E7</f>
        <v>2125041</v>
      </c>
      <c r="E7" s="59">
        <f>+'FY19 sched A'!F7</f>
        <v>2804676.05</v>
      </c>
      <c r="F7" s="59">
        <f>+(K7*1.05)+'FY20 excess gifts'!I9</f>
        <v>2401675.7024999997</v>
      </c>
      <c r="G7" s="45">
        <f>SUM(B7:F7)</f>
        <v>11273112.752500001</v>
      </c>
      <c r="H7" s="53" t="s">
        <v>81</v>
      </c>
      <c r="K7" s="45">
        <f>+E7-'FY19 excess gifts'!I9-'FY19 excess gifts'!D44</f>
        <v>1699993.0499999998</v>
      </c>
    </row>
    <row r="8" spans="1:11" x14ac:dyDescent="0.25">
      <c r="A8" s="1"/>
      <c r="C8" s="30"/>
      <c r="D8" s="74"/>
      <c r="E8" s="37"/>
      <c r="F8" s="37"/>
    </row>
    <row r="9" spans="1:11" x14ac:dyDescent="0.25">
      <c r="A9" s="1" t="s">
        <v>9</v>
      </c>
      <c r="C9" s="30"/>
      <c r="D9" s="74"/>
      <c r="E9" s="37"/>
      <c r="F9" s="37"/>
      <c r="G9" s="45">
        <f>+'FY19 excess gifts'!L47</f>
        <v>4492707.154000001</v>
      </c>
    </row>
    <row r="10" spans="1:11" x14ac:dyDescent="0.25">
      <c r="A10" s="1"/>
      <c r="C10" s="30"/>
      <c r="D10" s="74"/>
      <c r="E10" s="37"/>
      <c r="F10" s="37"/>
    </row>
    <row r="11" spans="1:11" x14ac:dyDescent="0.25">
      <c r="A11" s="1" t="s">
        <v>10</v>
      </c>
      <c r="C11" s="30"/>
      <c r="D11" s="74"/>
      <c r="E11" s="37"/>
      <c r="F11" s="37"/>
      <c r="G11" s="45">
        <f>+G7-G9</f>
        <v>6780405.5985000003</v>
      </c>
    </row>
    <row r="12" spans="1:11" x14ac:dyDescent="0.25">
      <c r="A12" s="1"/>
      <c r="C12" s="30"/>
      <c r="D12" s="74"/>
      <c r="E12" s="37"/>
      <c r="F12" s="37"/>
    </row>
    <row r="13" spans="1:11" x14ac:dyDescent="0.25">
      <c r="A13" s="1" t="s">
        <v>11</v>
      </c>
      <c r="B13" s="58">
        <f>+'FY18 sched A'!D13</f>
        <v>2083086</v>
      </c>
      <c r="C13" s="66">
        <f>+'FY18 sched A'!E13</f>
        <v>1858634</v>
      </c>
      <c r="D13" s="76">
        <f>+'FY18 sched A'!F13</f>
        <v>2125041</v>
      </c>
      <c r="E13" s="60">
        <f>+E7</f>
        <v>2804676.05</v>
      </c>
      <c r="F13" s="59">
        <f>+F7</f>
        <v>2401675.7024999997</v>
      </c>
      <c r="G13" s="45">
        <f>SUM(B13:F13)</f>
        <v>11273112.752500001</v>
      </c>
    </row>
    <row r="14" spans="1:11" x14ac:dyDescent="0.25">
      <c r="A14" s="1"/>
      <c r="C14" s="66"/>
      <c r="D14" s="76"/>
      <c r="E14" s="60"/>
      <c r="F14" s="60"/>
    </row>
    <row r="15" spans="1:11" x14ac:dyDescent="0.25">
      <c r="A15" s="1" t="s">
        <v>12</v>
      </c>
      <c r="B15" s="58">
        <f>+'FY18 sched A'!D15</f>
        <v>442593</v>
      </c>
      <c r="C15" s="66">
        <f>+'FY18 sched A'!E15</f>
        <v>568444</v>
      </c>
      <c r="D15" s="76">
        <f>+'FY18 sched A'!F15</f>
        <v>697096</v>
      </c>
      <c r="E15" s="60">
        <f>+'FY19 sched A'!F15</f>
        <v>552320</v>
      </c>
      <c r="F15" s="60">
        <f>AVERAGE(B15:E15)</f>
        <v>565113.25</v>
      </c>
      <c r="G15" s="45">
        <f>SUM(B15:F15)</f>
        <v>2825566.25</v>
      </c>
    </row>
    <row r="16" spans="1:11" x14ac:dyDescent="0.25">
      <c r="A16" s="1"/>
    </row>
    <row r="17" spans="1:7" x14ac:dyDescent="0.25">
      <c r="A17" s="1" t="s">
        <v>13</v>
      </c>
      <c r="G17" s="58">
        <f>+G13+G15</f>
        <v>14098679.002500001</v>
      </c>
    </row>
    <row r="18" spans="1:7" x14ac:dyDescent="0.25">
      <c r="A18" s="1" t="s">
        <v>15</v>
      </c>
      <c r="G18" s="58">
        <f>+G17*0.02</f>
        <v>281973.58005000005</v>
      </c>
    </row>
    <row r="19" spans="1:7" x14ac:dyDescent="0.25">
      <c r="A19" s="1"/>
    </row>
    <row r="20" spans="1:7" x14ac:dyDescent="0.25">
      <c r="A20" s="1" t="s">
        <v>16</v>
      </c>
      <c r="G20" s="10">
        <f>+G11/G17</f>
        <v>0.48092488645905673</v>
      </c>
    </row>
    <row r="23" spans="1:7" x14ac:dyDescent="0.25">
      <c r="B23" t="s">
        <v>82</v>
      </c>
      <c r="C23" s="44">
        <f>+'FY19 sched A'!G20</f>
        <v>0.45346236771014581</v>
      </c>
    </row>
    <row r="24" spans="1:7" x14ac:dyDescent="0.25">
      <c r="B24" t="s">
        <v>71</v>
      </c>
      <c r="C24" s="44">
        <f>+'FY18 sched A'!G20</f>
        <v>0.40638349901438853</v>
      </c>
    </row>
    <row r="25" spans="1:7" x14ac:dyDescent="0.25">
      <c r="B25" t="s">
        <v>59</v>
      </c>
      <c r="C25" s="44">
        <f>+'FY18 sched A'!C22</f>
        <v>0.38375158873609949</v>
      </c>
    </row>
    <row r="26" spans="1:7" x14ac:dyDescent="0.25">
      <c r="B26" t="s">
        <v>50</v>
      </c>
      <c r="C26" s="44">
        <f>+'FY18 sched A'!C23</f>
        <v>0.39761149543575552</v>
      </c>
    </row>
    <row r="27" spans="1:7" x14ac:dyDescent="0.25">
      <c r="B27" t="s">
        <v>42</v>
      </c>
      <c r="C27" s="44">
        <f>+'FY18 sched A'!C24</f>
        <v>0.39350000000000002</v>
      </c>
    </row>
    <row r="28" spans="1:7" x14ac:dyDescent="0.25">
      <c r="B28" s="5" t="s">
        <v>39</v>
      </c>
      <c r="C28" s="44">
        <f>+'FY18 sched A'!C25</f>
        <v>0.39360000000000001</v>
      </c>
    </row>
    <row r="29" spans="1:7" x14ac:dyDescent="0.25">
      <c r="B29" s="5" t="s">
        <v>17</v>
      </c>
      <c r="C29" s="44">
        <f>+'FY18 sched A'!C26</f>
        <v>0.39019999999999999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G15" sqref="G15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8" width="13.5703125" bestFit="1" customWidth="1"/>
    <col min="9" max="9" width="11.5703125" customWidth="1"/>
    <col min="10" max="10" width="20.140625" bestFit="1" customWidth="1"/>
    <col min="11" max="12" width="13.5703125" bestFit="1" customWidth="1"/>
  </cols>
  <sheetData>
    <row r="1" spans="1:14" x14ac:dyDescent="0.25">
      <c r="A1" s="12"/>
      <c r="B1" s="12"/>
      <c r="C1" s="12"/>
      <c r="D1" s="13"/>
    </row>
    <row r="2" spans="1:14" x14ac:dyDescent="0.25">
      <c r="A2" s="15" t="s">
        <v>18</v>
      </c>
      <c r="B2" s="15" t="s">
        <v>19</v>
      </c>
      <c r="C2" s="15"/>
      <c r="D2" s="15" t="s">
        <v>20</v>
      </c>
      <c r="E2" s="16" t="s">
        <v>41</v>
      </c>
      <c r="F2" s="16" t="s">
        <v>49</v>
      </c>
      <c r="G2" s="16" t="s">
        <v>58</v>
      </c>
      <c r="H2" s="16" t="s">
        <v>68</v>
      </c>
      <c r="I2" s="16" t="s">
        <v>79</v>
      </c>
      <c r="J2" s="15" t="s">
        <v>25</v>
      </c>
      <c r="K2" s="12" t="s">
        <v>26</v>
      </c>
      <c r="L2" s="58">
        <f>+'FY20 sched A'!G18</f>
        <v>281973.58005000005</v>
      </c>
    </row>
    <row r="3" spans="1:14" x14ac:dyDescent="0.25">
      <c r="A3" s="15"/>
      <c r="B3" s="18"/>
      <c r="C3" s="18"/>
      <c r="D3" s="19"/>
    </row>
    <row r="4" spans="1:14" x14ac:dyDescent="0.25">
      <c r="A4" s="15"/>
      <c r="B4" s="18"/>
      <c r="C4" s="18"/>
      <c r="D4" s="19"/>
    </row>
    <row r="5" spans="1:14" x14ac:dyDescent="0.25">
      <c r="A5" s="15" t="s">
        <v>72</v>
      </c>
      <c r="B5" s="18" t="s">
        <v>41</v>
      </c>
      <c r="D5" s="19">
        <f>+'FY19 excess gifts'!D6</f>
        <v>750994</v>
      </c>
      <c r="E5" s="45">
        <f>+D5</f>
        <v>750994</v>
      </c>
    </row>
    <row r="6" spans="1:14" x14ac:dyDescent="0.25">
      <c r="A6" s="15" t="s">
        <v>72</v>
      </c>
      <c r="B6" s="18" t="s">
        <v>49</v>
      </c>
      <c r="D6" s="19">
        <f>+'FY19 excess gifts'!D7</f>
        <v>580239</v>
      </c>
      <c r="F6" s="45">
        <f>+D6</f>
        <v>580239</v>
      </c>
    </row>
    <row r="7" spans="1:14" x14ac:dyDescent="0.25">
      <c r="A7" s="15" t="s">
        <v>72</v>
      </c>
      <c r="B7" s="18" t="s">
        <v>58</v>
      </c>
      <c r="D7" s="19">
        <f>+'FY19 excess gifts'!D8</f>
        <v>506000</v>
      </c>
      <c r="G7" s="45">
        <f>+D7</f>
        <v>506000</v>
      </c>
    </row>
    <row r="8" spans="1:14" x14ac:dyDescent="0.25">
      <c r="A8" s="15" t="s">
        <v>72</v>
      </c>
      <c r="B8" s="18" t="s">
        <v>68</v>
      </c>
      <c r="D8" s="26">
        <f>+'FY19 excess gifts'!D9</f>
        <v>684683</v>
      </c>
      <c r="H8" s="45">
        <f>+D8</f>
        <v>684683</v>
      </c>
      <c r="I8" s="58"/>
      <c r="J8" s="45"/>
      <c r="K8" s="19"/>
      <c r="L8" s="19"/>
    </row>
    <row r="9" spans="1:14" x14ac:dyDescent="0.25">
      <c r="A9" s="15" t="s">
        <v>72</v>
      </c>
      <c r="B9" s="18" t="s">
        <v>79</v>
      </c>
      <c r="C9" s="18"/>
      <c r="D9" s="26">
        <f>287000+104683+225000</f>
        <v>616683</v>
      </c>
      <c r="I9" s="58">
        <f>+D9</f>
        <v>616683</v>
      </c>
      <c r="J9" s="45">
        <f>SUM(E5:I9)</f>
        <v>3138599</v>
      </c>
      <c r="K9" s="19">
        <f>IF(J9&gt;L$2,L$2,J9)</f>
        <v>281973.58005000005</v>
      </c>
      <c r="L9" s="19">
        <f>IF(K9=L$2,J9-K9,0)</f>
        <v>2856625.41995</v>
      </c>
      <c r="N9" s="79" t="s">
        <v>83</v>
      </c>
    </row>
    <row r="10" spans="1:14" x14ac:dyDescent="0.25">
      <c r="A10" s="15"/>
      <c r="B10" s="18"/>
      <c r="C10" s="18"/>
      <c r="D10" s="19"/>
    </row>
    <row r="11" spans="1:14" x14ac:dyDescent="0.25">
      <c r="A11" s="15" t="s">
        <v>29</v>
      </c>
      <c r="B11" s="18" t="s">
        <v>41</v>
      </c>
      <c r="C11" s="18"/>
      <c r="D11" s="19">
        <f>+'FY19 excess gifts'!D13</f>
        <v>85000</v>
      </c>
      <c r="E11" s="45">
        <f>+D11</f>
        <v>85000</v>
      </c>
    </row>
    <row r="12" spans="1:14" x14ac:dyDescent="0.25">
      <c r="A12" s="15" t="s">
        <v>29</v>
      </c>
      <c r="B12" s="18" t="s">
        <v>49</v>
      </c>
      <c r="C12" s="18"/>
      <c r="D12" s="19">
        <f>+'FY19 excess gifts'!D14</f>
        <v>86023</v>
      </c>
      <c r="F12" s="45">
        <f>+D12</f>
        <v>86023</v>
      </c>
    </row>
    <row r="13" spans="1:14" x14ac:dyDescent="0.25">
      <c r="A13" s="15" t="s">
        <v>29</v>
      </c>
      <c r="B13" s="18" t="s">
        <v>58</v>
      </c>
      <c r="C13" s="18"/>
      <c r="D13" s="72">
        <f>+'FY19 excess gifts'!D15</f>
        <v>110798</v>
      </c>
      <c r="G13" s="45">
        <f>+D13</f>
        <v>110798</v>
      </c>
      <c r="J13" s="45"/>
    </row>
    <row r="14" spans="1:14" x14ac:dyDescent="0.25">
      <c r="A14" s="15" t="s">
        <v>29</v>
      </c>
      <c r="B14" s="18" t="s">
        <v>68</v>
      </c>
      <c r="C14" s="18"/>
      <c r="D14" s="26">
        <f>+'FY19 excess gifts'!D16</f>
        <v>114000</v>
      </c>
      <c r="H14" s="45">
        <f>+D14</f>
        <v>114000</v>
      </c>
      <c r="I14" s="45"/>
      <c r="J14" s="45"/>
      <c r="K14" s="19"/>
      <c r="L14" s="19"/>
    </row>
    <row r="15" spans="1:14" x14ac:dyDescent="0.25">
      <c r="A15" s="15" t="s">
        <v>29</v>
      </c>
      <c r="B15" s="18" t="s">
        <v>79</v>
      </c>
      <c r="C15" s="18"/>
      <c r="D15" s="26">
        <v>125000</v>
      </c>
      <c r="I15" s="45">
        <f>+D15</f>
        <v>125000</v>
      </c>
      <c r="J15" s="45">
        <f>SUM(E11:I15)</f>
        <v>520821</v>
      </c>
      <c r="K15" s="19">
        <f>IF(J15&gt;L$2,L$2,J15)</f>
        <v>281973.58005000005</v>
      </c>
      <c r="L15" s="19">
        <f>IF(K15=L$2,J15-K15,0)</f>
        <v>238847.41994999995</v>
      </c>
    </row>
    <row r="16" spans="1:14" x14ac:dyDescent="0.25">
      <c r="A16" s="15"/>
      <c r="B16" s="18"/>
      <c r="C16" s="18"/>
      <c r="D16" s="19"/>
    </row>
    <row r="17" spans="1:12" x14ac:dyDescent="0.25">
      <c r="A17" s="15" t="s">
        <v>30</v>
      </c>
      <c r="B17" s="18" t="s">
        <v>41</v>
      </c>
      <c r="D17" s="19">
        <f>+'FY19 excess gifts'!D20</f>
        <v>35000</v>
      </c>
      <c r="E17" s="45">
        <f>+D17</f>
        <v>35000</v>
      </c>
    </row>
    <row r="18" spans="1:12" x14ac:dyDescent="0.25">
      <c r="A18" s="15" t="s">
        <v>30</v>
      </c>
      <c r="B18" s="18" t="s">
        <v>49</v>
      </c>
      <c r="D18" s="19">
        <f>+'FY19 excess gifts'!D21</f>
        <v>25000</v>
      </c>
      <c r="F18" s="45">
        <f>+D18</f>
        <v>25000</v>
      </c>
    </row>
    <row r="19" spans="1:12" x14ac:dyDescent="0.25">
      <c r="A19" s="15" t="s">
        <v>30</v>
      </c>
      <c r="B19" s="18" t="s">
        <v>58</v>
      </c>
      <c r="D19" s="26">
        <f>+'FY19 excess gifts'!D22</f>
        <v>0</v>
      </c>
      <c r="G19" s="45">
        <f>+D19</f>
        <v>0</v>
      </c>
    </row>
    <row r="20" spans="1:12" x14ac:dyDescent="0.25">
      <c r="A20" s="15" t="s">
        <v>30</v>
      </c>
      <c r="B20" s="18" t="s">
        <v>68</v>
      </c>
      <c r="D20" s="26">
        <f>+'FY19 excess gifts'!D23</f>
        <v>0</v>
      </c>
      <c r="H20" s="45">
        <f>+D20</f>
        <v>0</v>
      </c>
      <c r="I20" s="45"/>
      <c r="J20" s="45"/>
      <c r="K20" s="19"/>
      <c r="L20" s="19"/>
    </row>
    <row r="21" spans="1:12" x14ac:dyDescent="0.25">
      <c r="A21" s="15" t="s">
        <v>30</v>
      </c>
      <c r="B21" s="18" t="s">
        <v>79</v>
      </c>
      <c r="D21" s="26">
        <v>25000</v>
      </c>
      <c r="H21" s="45"/>
      <c r="I21" s="45">
        <f>+D21</f>
        <v>25000</v>
      </c>
      <c r="J21" s="45">
        <f>SUM(E17:I21)</f>
        <v>85000</v>
      </c>
      <c r="K21" s="19">
        <f>IF(J21&gt;L$2,L$2,J21)</f>
        <v>85000</v>
      </c>
      <c r="L21" s="19">
        <f>IF(K21=L$2,J21-K21,0)</f>
        <v>0</v>
      </c>
    </row>
    <row r="22" spans="1:12" x14ac:dyDescent="0.25">
      <c r="A22" s="15"/>
      <c r="B22" s="18"/>
      <c r="C22" s="18"/>
      <c r="D22" s="19"/>
    </row>
    <row r="23" spans="1:12" x14ac:dyDescent="0.25">
      <c r="A23" s="15" t="s">
        <v>31</v>
      </c>
      <c r="B23" s="18" t="s">
        <v>41</v>
      </c>
      <c r="D23" s="19">
        <f>+'FY19 excess gifts'!D26</f>
        <v>100000</v>
      </c>
      <c r="E23" s="45">
        <f>+D23</f>
        <v>100000</v>
      </c>
    </row>
    <row r="24" spans="1:12" x14ac:dyDescent="0.25">
      <c r="A24" s="15" t="s">
        <v>31</v>
      </c>
      <c r="B24" s="18" t="s">
        <v>49</v>
      </c>
      <c r="D24" s="19">
        <f>+'FY19 excess gifts'!D27</f>
        <v>100000</v>
      </c>
      <c r="F24" s="45">
        <f>+D24</f>
        <v>100000</v>
      </c>
    </row>
    <row r="25" spans="1:12" x14ac:dyDescent="0.25">
      <c r="A25" s="15" t="s">
        <v>31</v>
      </c>
      <c r="B25" s="18" t="s">
        <v>58</v>
      </c>
      <c r="D25" s="72">
        <f>+'FY19 excess gifts'!D28</f>
        <v>100000</v>
      </c>
      <c r="G25" s="45">
        <f>+D25</f>
        <v>100000</v>
      </c>
    </row>
    <row r="26" spans="1:12" x14ac:dyDescent="0.25">
      <c r="A26" s="15" t="s">
        <v>31</v>
      </c>
      <c r="B26" s="18" t="s">
        <v>68</v>
      </c>
      <c r="D26" s="26">
        <f>+'FY19 excess gifts'!D29</f>
        <v>25000</v>
      </c>
      <c r="H26" s="45">
        <f>+D26</f>
        <v>25000</v>
      </c>
      <c r="I26" s="45"/>
      <c r="J26" s="45"/>
      <c r="K26" s="19"/>
      <c r="L26" s="19"/>
    </row>
    <row r="27" spans="1:12" x14ac:dyDescent="0.25">
      <c r="A27" s="15" t="s">
        <v>31</v>
      </c>
      <c r="B27" s="18" t="s">
        <v>79</v>
      </c>
      <c r="D27" s="26">
        <v>25000</v>
      </c>
      <c r="H27" s="45"/>
      <c r="I27" s="45">
        <f>+D27</f>
        <v>25000</v>
      </c>
      <c r="J27" s="45">
        <f>SUM(E23:I27)</f>
        <v>350000</v>
      </c>
      <c r="K27" s="19">
        <f>IF(J27&gt;L$2,L$2,J27)</f>
        <v>281973.58005000005</v>
      </c>
      <c r="L27" s="19">
        <f>IF(K27=L$2,J27-K27,0)</f>
        <v>68026.419949999952</v>
      </c>
    </row>
    <row r="28" spans="1:12" x14ac:dyDescent="0.25">
      <c r="A28" s="15"/>
      <c r="B28" s="18"/>
      <c r="C28" s="18"/>
      <c r="D28" s="19"/>
    </row>
    <row r="29" spans="1:12" x14ac:dyDescent="0.25">
      <c r="A29" s="15" t="s">
        <v>34</v>
      </c>
      <c r="B29" s="18" t="s">
        <v>41</v>
      </c>
      <c r="C29" s="18"/>
      <c r="D29" s="19">
        <f>+'FY19 excess gifts'!D32</f>
        <v>260000</v>
      </c>
      <c r="E29" s="45">
        <f>+D29</f>
        <v>260000</v>
      </c>
    </row>
    <row r="30" spans="1:12" x14ac:dyDescent="0.25">
      <c r="A30" s="15" t="s">
        <v>34</v>
      </c>
      <c r="B30" s="18" t="s">
        <v>49</v>
      </c>
      <c r="C30" s="18"/>
      <c r="D30" s="19">
        <f>+'FY19 excess gifts'!D33</f>
        <v>220000</v>
      </c>
      <c r="F30" s="45">
        <f>+D30</f>
        <v>220000</v>
      </c>
    </row>
    <row r="31" spans="1:12" x14ac:dyDescent="0.25">
      <c r="A31" s="15" t="s">
        <v>34</v>
      </c>
      <c r="B31" s="18" t="s">
        <v>58</v>
      </c>
      <c r="C31" s="18"/>
      <c r="D31" s="72">
        <f>+'FY19 excess gifts'!D34</f>
        <v>123000</v>
      </c>
      <c r="G31" s="45">
        <f>+D31</f>
        <v>123000</v>
      </c>
    </row>
    <row r="32" spans="1:12" x14ac:dyDescent="0.25">
      <c r="A32" s="15" t="s">
        <v>34</v>
      </c>
      <c r="B32" s="18" t="s">
        <v>68</v>
      </c>
      <c r="C32" s="18"/>
      <c r="D32" s="26">
        <f>+'FY19 excess gifts'!D35</f>
        <v>100000</v>
      </c>
      <c r="H32" s="45">
        <f>+D32</f>
        <v>100000</v>
      </c>
      <c r="I32" s="45"/>
      <c r="J32" s="45"/>
      <c r="K32" s="19"/>
      <c r="L32" s="19"/>
    </row>
    <row r="33" spans="1:12" x14ac:dyDescent="0.25">
      <c r="A33" s="15" t="s">
        <v>34</v>
      </c>
      <c r="B33" s="18" t="s">
        <v>79</v>
      </c>
      <c r="C33" s="18"/>
      <c r="D33" s="26">
        <v>100000</v>
      </c>
      <c r="H33" s="45"/>
      <c r="I33" s="45">
        <f>+D33</f>
        <v>100000</v>
      </c>
      <c r="J33" s="45">
        <f>SUM(E29:I33)</f>
        <v>803000</v>
      </c>
      <c r="K33" s="19">
        <f>IF(J33&gt;L$2,L$2,J33)</f>
        <v>281973.58005000005</v>
      </c>
      <c r="L33" s="19">
        <f>IF(K33=L$2,J33-K33,0)</f>
        <v>521026.41994999995</v>
      </c>
    </row>
    <row r="34" spans="1:12" x14ac:dyDescent="0.25">
      <c r="A34" s="15"/>
      <c r="B34" s="18"/>
      <c r="C34" s="18"/>
      <c r="D34" s="26"/>
      <c r="H34" s="45"/>
      <c r="I34" s="45"/>
      <c r="J34" s="45"/>
      <c r="K34" s="19"/>
      <c r="L34" s="19"/>
    </row>
    <row r="35" spans="1:12" x14ac:dyDescent="0.25">
      <c r="A35" s="15" t="s">
        <v>60</v>
      </c>
      <c r="B35" s="18" t="s">
        <v>41</v>
      </c>
      <c r="C35" s="18"/>
      <c r="D35" s="19">
        <f>+'FY19 excess gifts'!D38</f>
        <v>8000</v>
      </c>
      <c r="E35" s="45">
        <f>+D35</f>
        <v>8000</v>
      </c>
      <c r="H35" s="45"/>
      <c r="I35" s="45"/>
      <c r="J35" s="45"/>
      <c r="K35" s="19"/>
      <c r="L35" s="19"/>
    </row>
    <row r="36" spans="1:12" x14ac:dyDescent="0.25">
      <c r="A36" s="15" t="s">
        <v>60</v>
      </c>
      <c r="B36" s="18" t="s">
        <v>49</v>
      </c>
      <c r="C36" s="18"/>
      <c r="D36" s="19">
        <f>+'FY19 excess gifts'!D39</f>
        <v>8000</v>
      </c>
      <c r="F36" s="45">
        <f>+D36</f>
        <v>8000</v>
      </c>
      <c r="H36" s="45"/>
      <c r="I36" s="45"/>
      <c r="J36" s="45"/>
      <c r="K36" s="19"/>
      <c r="L36" s="19"/>
    </row>
    <row r="37" spans="1:12" x14ac:dyDescent="0.25">
      <c r="A37" s="15" t="s">
        <v>60</v>
      </c>
      <c r="B37" s="18" t="s">
        <v>58</v>
      </c>
      <c r="C37" s="18"/>
      <c r="D37" s="19">
        <f>+'FY19 excess gifts'!D40</f>
        <v>257500</v>
      </c>
      <c r="G37" s="45">
        <f>+D37</f>
        <v>257500</v>
      </c>
      <c r="H37" s="45"/>
      <c r="I37" s="45"/>
      <c r="J37" s="45"/>
      <c r="K37" s="19"/>
      <c r="L37" s="19"/>
    </row>
    <row r="38" spans="1:12" x14ac:dyDescent="0.25">
      <c r="A38" s="15" t="s">
        <v>60</v>
      </c>
      <c r="B38" s="18" t="s">
        <v>68</v>
      </c>
      <c r="C38" s="18"/>
      <c r="D38" s="19">
        <f>+'FY19 excess gifts'!D41</f>
        <v>0</v>
      </c>
      <c r="H38" s="45">
        <f>+D38</f>
        <v>0</v>
      </c>
      <c r="I38" s="45"/>
      <c r="J38" s="45"/>
      <c r="K38" s="19"/>
      <c r="L38" s="19"/>
    </row>
    <row r="39" spans="1:12" x14ac:dyDescent="0.25">
      <c r="A39" s="15" t="s">
        <v>60</v>
      </c>
      <c r="B39" s="18" t="s">
        <v>79</v>
      </c>
      <c r="C39" s="18"/>
      <c r="D39" s="19">
        <v>0</v>
      </c>
      <c r="H39" s="45"/>
      <c r="I39" s="45">
        <f>+D39</f>
        <v>0</v>
      </c>
      <c r="J39" s="45">
        <f>SUM(E35:I39)</f>
        <v>273500</v>
      </c>
      <c r="K39" s="19">
        <f>IF(J39&gt;L$2,L$2,J39)</f>
        <v>273500</v>
      </c>
      <c r="L39" s="19">
        <f>IF(K39=L$2,J39-K39,0)</f>
        <v>0</v>
      </c>
    </row>
    <row r="40" spans="1:12" x14ac:dyDescent="0.25">
      <c r="A40" s="15"/>
      <c r="B40" s="18"/>
      <c r="C40" s="18"/>
      <c r="D40" s="19"/>
    </row>
    <row r="41" spans="1:12" x14ac:dyDescent="0.25">
      <c r="A41" s="15" t="s">
        <v>43</v>
      </c>
      <c r="B41" s="18" t="s">
        <v>41</v>
      </c>
      <c r="C41" s="18"/>
      <c r="D41" s="19">
        <f>+'FY19 excess gifts'!D43</f>
        <v>350000</v>
      </c>
      <c r="E41" s="45">
        <f>+D41</f>
        <v>350000</v>
      </c>
      <c r="J41" s="45"/>
      <c r="K41" s="19"/>
      <c r="L41" s="19"/>
    </row>
    <row r="42" spans="1:12" x14ac:dyDescent="0.25">
      <c r="A42" s="15" t="s">
        <v>43</v>
      </c>
      <c r="B42" s="18" t="s">
        <v>68</v>
      </c>
      <c r="C42" s="18"/>
      <c r="D42" s="26">
        <f>+'FY19 excess gifts'!D44</f>
        <v>420000</v>
      </c>
      <c r="H42" s="45">
        <f>+D42</f>
        <v>420000</v>
      </c>
      <c r="J42" s="45">
        <f>SUM(E41:I42)</f>
        <v>770000</v>
      </c>
      <c r="K42" s="19">
        <f>IF(J42&gt;L$2,L$2,J42)</f>
        <v>281973.58005000005</v>
      </c>
      <c r="L42" s="19">
        <f>IF(K42=L$2,J42-K42,0)</f>
        <v>488026.41994999995</v>
      </c>
    </row>
    <row r="43" spans="1:12" x14ac:dyDescent="0.25">
      <c r="A43" s="15"/>
      <c r="B43" s="18"/>
      <c r="C43" s="18"/>
      <c r="D43" s="19"/>
    </row>
    <row r="44" spans="1:12" x14ac:dyDescent="0.25">
      <c r="A44" s="16"/>
      <c r="B44" s="18"/>
      <c r="C44" s="18"/>
      <c r="D44" s="27"/>
      <c r="E44" s="62"/>
      <c r="F44" s="62"/>
      <c r="G44" s="62"/>
      <c r="H44" s="62"/>
      <c r="I44" s="62"/>
      <c r="J44" s="62"/>
      <c r="K44" s="62"/>
      <c r="L44" s="62"/>
    </row>
    <row r="45" spans="1:12" x14ac:dyDescent="0.25">
      <c r="A45" s="16"/>
      <c r="B45" s="18"/>
      <c r="C45" s="18"/>
      <c r="D45" s="19">
        <f>SUM(D5:D44)</f>
        <v>5940920</v>
      </c>
      <c r="E45" s="45">
        <f>SUM(E5:E44)</f>
        <v>1588994</v>
      </c>
      <c r="F45" s="45">
        <f t="shared" ref="F45:I45" si="0">SUM(F5:F44)</f>
        <v>1019262</v>
      </c>
      <c r="G45" s="45">
        <f t="shared" si="0"/>
        <v>1097298</v>
      </c>
      <c r="H45" s="45">
        <f t="shared" si="0"/>
        <v>1343683</v>
      </c>
      <c r="I45" s="45">
        <f t="shared" si="0"/>
        <v>891683</v>
      </c>
      <c r="J45" s="19">
        <f>SUM(J5:J44)</f>
        <v>5940920</v>
      </c>
      <c r="K45" s="19">
        <f t="shared" ref="K45:L45" si="1">SUM(K5:K44)</f>
        <v>1768367.9002500002</v>
      </c>
      <c r="L45" s="19">
        <f t="shared" si="1"/>
        <v>4172552.0997500001</v>
      </c>
    </row>
    <row r="47" spans="1:12" x14ac:dyDescent="0.25">
      <c r="A47" t="s">
        <v>44</v>
      </c>
    </row>
    <row r="48" spans="1:12" x14ac:dyDescent="0.25">
      <c r="A48" t="s">
        <v>84</v>
      </c>
      <c r="B48" s="45">
        <f>SUM('FY19 excess gifts'!J47)</f>
        <v>6155492</v>
      </c>
    </row>
    <row r="49" spans="1:2" x14ac:dyDescent="0.25">
      <c r="A49" t="s">
        <v>85</v>
      </c>
      <c r="B49" s="45">
        <f>-SUM('FY19 excess gifts'!E5:E46)</f>
        <v>-1106255</v>
      </c>
    </row>
    <row r="50" spans="1:2" x14ac:dyDescent="0.25">
      <c r="A50" t="s">
        <v>86</v>
      </c>
      <c r="B50" s="77">
        <f>SUM(I5:I42)</f>
        <v>891683</v>
      </c>
    </row>
    <row r="51" spans="1:2" x14ac:dyDescent="0.25">
      <c r="B51" s="45">
        <f>SUM(B48:B50)</f>
        <v>5940920</v>
      </c>
    </row>
    <row r="52" spans="1:2" x14ac:dyDescent="0.25">
      <c r="B52" s="45">
        <f>+B51-J45</f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7" sqref="K7"/>
    </sheetView>
  </sheetViews>
  <sheetFormatPr defaultRowHeight="15" x14ac:dyDescent="0.25"/>
  <cols>
    <col min="1" max="1" width="19.5703125" bestFit="1" customWidth="1"/>
    <col min="2" max="7" width="14.7109375" customWidth="1"/>
    <col min="8" max="8" width="28.7109375" customWidth="1"/>
    <col min="11" max="11" width="13.5703125" bestFit="1" customWidth="1"/>
  </cols>
  <sheetData>
    <row r="1" spans="1:13" ht="15.75" x14ac:dyDescent="0.25">
      <c r="A1" s="1"/>
      <c r="C1" s="2" t="s">
        <v>0</v>
      </c>
    </row>
    <row r="2" spans="1:13" ht="15.75" x14ac:dyDescent="0.25">
      <c r="A2" s="1"/>
      <c r="C2" s="3" t="s">
        <v>87</v>
      </c>
    </row>
    <row r="3" spans="1:13" x14ac:dyDescent="0.25">
      <c r="A3" s="1"/>
      <c r="B3" s="38"/>
      <c r="C3" s="38"/>
    </row>
    <row r="4" spans="1:13" x14ac:dyDescent="0.25">
      <c r="A4" s="1"/>
      <c r="B4" s="4">
        <v>2016</v>
      </c>
      <c r="C4" s="4">
        <v>2017</v>
      </c>
      <c r="D4" s="4">
        <v>2018</v>
      </c>
      <c r="E4" s="39">
        <v>2019</v>
      </c>
      <c r="F4" s="39">
        <v>2020</v>
      </c>
      <c r="G4" s="61" t="s">
        <v>2</v>
      </c>
    </row>
    <row r="5" spans="1:13" x14ac:dyDescent="0.25">
      <c r="A5" s="1"/>
      <c r="B5" s="4" t="s">
        <v>49</v>
      </c>
      <c r="C5" s="4" t="s">
        <v>58</v>
      </c>
      <c r="D5" s="4" t="s">
        <v>68</v>
      </c>
      <c r="E5" s="39" t="s">
        <v>79</v>
      </c>
      <c r="F5" s="39" t="s">
        <v>88</v>
      </c>
    </row>
    <row r="6" spans="1:13" x14ac:dyDescent="0.25">
      <c r="A6" s="1"/>
      <c r="B6" s="74"/>
      <c r="C6" s="74"/>
      <c r="D6" s="74"/>
      <c r="K6" t="s">
        <v>89</v>
      </c>
    </row>
    <row r="7" spans="1:13" ht="30" x14ac:dyDescent="0.25">
      <c r="A7" s="1" t="s">
        <v>8</v>
      </c>
      <c r="B7" s="75">
        <f>+'FY19 sched A'!D7</f>
        <v>1858634</v>
      </c>
      <c r="C7" s="75">
        <f>+'FY19 sched A'!E7</f>
        <v>2125041</v>
      </c>
      <c r="D7" s="75">
        <f>+'FY19 sched A'!F7</f>
        <v>2804676.05</v>
      </c>
      <c r="E7" s="59">
        <f>+'FY20 sched A'!F7</f>
        <v>2401675.7024999997</v>
      </c>
      <c r="F7" s="59">
        <f>+(K7*1.05)+'FY21 excess gifts'!I9</f>
        <v>2521759.4876249996</v>
      </c>
      <c r="G7" s="45">
        <f>SUM(B7:F7)</f>
        <v>11711786.240124999</v>
      </c>
      <c r="H7" s="53" t="s">
        <v>90</v>
      </c>
      <c r="K7" s="58">
        <f>+E7-'FY20 excess gifts'!I9</f>
        <v>1784992.7024999997</v>
      </c>
      <c r="M7" s="58"/>
    </row>
    <row r="8" spans="1:13" x14ac:dyDescent="0.25">
      <c r="A8" s="1"/>
      <c r="B8" s="74"/>
      <c r="C8" s="74"/>
      <c r="D8" s="74"/>
      <c r="E8" s="37"/>
      <c r="F8" s="37"/>
      <c r="K8" s="45"/>
      <c r="M8" s="58"/>
    </row>
    <row r="9" spans="1:13" x14ac:dyDescent="0.25">
      <c r="A9" s="1" t="s">
        <v>9</v>
      </c>
      <c r="B9" s="74"/>
      <c r="C9" s="74"/>
      <c r="D9" s="74"/>
      <c r="E9" s="37"/>
      <c r="F9" s="37"/>
      <c r="G9" s="45">
        <f>+'FY19 excess gifts'!L47</f>
        <v>4492707.154000001</v>
      </c>
      <c r="K9" s="58"/>
      <c r="M9" s="58"/>
    </row>
    <row r="10" spans="1:13" x14ac:dyDescent="0.25">
      <c r="A10" s="1"/>
      <c r="B10" s="74"/>
      <c r="C10" s="74"/>
      <c r="D10" s="74"/>
      <c r="E10" s="37"/>
      <c r="F10" s="37"/>
      <c r="K10" s="45"/>
    </row>
    <row r="11" spans="1:13" x14ac:dyDescent="0.25">
      <c r="A11" s="1" t="s">
        <v>10</v>
      </c>
      <c r="B11" s="74"/>
      <c r="C11" s="74"/>
      <c r="D11" s="74"/>
      <c r="E11" s="37"/>
      <c r="F11" s="37"/>
      <c r="G11" s="45">
        <f>+G7-G9</f>
        <v>7219079.0861249976</v>
      </c>
    </row>
    <row r="12" spans="1:13" x14ac:dyDescent="0.25">
      <c r="A12" s="1"/>
      <c r="B12" s="74"/>
      <c r="C12" s="74"/>
      <c r="D12" s="74"/>
      <c r="E12" s="37"/>
      <c r="F12" s="37"/>
    </row>
    <row r="13" spans="1:13" x14ac:dyDescent="0.25">
      <c r="A13" s="1" t="s">
        <v>11</v>
      </c>
      <c r="B13" s="76">
        <f>+'FY18 sched A'!E13</f>
        <v>1858634</v>
      </c>
      <c r="C13" s="76">
        <f>+'FY18 sched A'!F13</f>
        <v>2125041</v>
      </c>
      <c r="D13" s="76">
        <f>+D7</f>
        <v>2804676.05</v>
      </c>
      <c r="E13" s="59">
        <f>+E7</f>
        <v>2401675.7024999997</v>
      </c>
      <c r="F13" s="59">
        <f>+F7</f>
        <v>2521759.4876249996</v>
      </c>
      <c r="G13" s="45">
        <f>SUM(B13:F13)</f>
        <v>11711786.240124999</v>
      </c>
    </row>
    <row r="14" spans="1:13" x14ac:dyDescent="0.25">
      <c r="A14" s="1"/>
      <c r="B14" s="76"/>
      <c r="C14" s="76"/>
      <c r="D14" s="76"/>
      <c r="E14" s="60"/>
      <c r="F14" s="60"/>
    </row>
    <row r="15" spans="1:13" x14ac:dyDescent="0.25">
      <c r="A15" s="1" t="s">
        <v>12</v>
      </c>
      <c r="B15" s="76">
        <f>+'FY20 sched A'!C15</f>
        <v>568444</v>
      </c>
      <c r="C15" s="76">
        <f>+'FY20 sched A'!D15</f>
        <v>697096</v>
      </c>
      <c r="D15" s="76">
        <f>+'FY20 sched A'!E15</f>
        <v>552320</v>
      </c>
      <c r="E15" s="60">
        <f>+'FY20 sched A'!F15</f>
        <v>565113.25</v>
      </c>
      <c r="F15" s="60">
        <f>AVERAGE(B15:E15)</f>
        <v>595743.3125</v>
      </c>
      <c r="G15" s="45">
        <f>SUM(B15:F15)</f>
        <v>2978716.5625</v>
      </c>
    </row>
    <row r="16" spans="1:13" x14ac:dyDescent="0.25">
      <c r="A16" s="1"/>
    </row>
    <row r="17" spans="1:7" x14ac:dyDescent="0.25">
      <c r="A17" s="1" t="s">
        <v>13</v>
      </c>
      <c r="G17" s="45">
        <f>+G13+G15</f>
        <v>14690502.802624999</v>
      </c>
    </row>
    <row r="18" spans="1:7" x14ac:dyDescent="0.25">
      <c r="A18" s="1" t="s">
        <v>15</v>
      </c>
      <c r="G18" s="58">
        <f>+G17*0.02</f>
        <v>293810.05605249997</v>
      </c>
    </row>
    <row r="19" spans="1:7" x14ac:dyDescent="0.25">
      <c r="A19" s="1"/>
    </row>
    <row r="20" spans="1:7" x14ac:dyDescent="0.25">
      <c r="A20" s="1" t="s">
        <v>16</v>
      </c>
      <c r="G20" s="10">
        <f>+G11/G17</f>
        <v>0.49141130042431519</v>
      </c>
    </row>
    <row r="24" spans="1:7" x14ac:dyDescent="0.25">
      <c r="B24" t="s">
        <v>91</v>
      </c>
      <c r="C24" s="44">
        <f>+'FY20 sched A'!G20</f>
        <v>0.48092488645905673</v>
      </c>
    </row>
    <row r="25" spans="1:7" x14ac:dyDescent="0.25">
      <c r="B25" t="s">
        <v>82</v>
      </c>
      <c r="C25" s="44">
        <f>+'FY20 sched A'!C23</f>
        <v>0.45346236771014581</v>
      </c>
    </row>
    <row r="26" spans="1:7" x14ac:dyDescent="0.25">
      <c r="B26" t="s">
        <v>71</v>
      </c>
      <c r="C26" s="44">
        <f>+'FY18 sched A'!G20</f>
        <v>0.40638349901438853</v>
      </c>
    </row>
    <row r="27" spans="1:7" x14ac:dyDescent="0.25">
      <c r="B27" t="s">
        <v>59</v>
      </c>
      <c r="C27" s="44">
        <f>+'FY18 sched A'!C22</f>
        <v>0.38375158873609949</v>
      </c>
    </row>
    <row r="28" spans="1:7" x14ac:dyDescent="0.25">
      <c r="B28" t="s">
        <v>50</v>
      </c>
      <c r="C28" s="44">
        <f>+'FY18 sched A'!C23</f>
        <v>0.39761149543575552</v>
      </c>
    </row>
    <row r="29" spans="1:7" x14ac:dyDescent="0.25">
      <c r="B29" t="s">
        <v>42</v>
      </c>
      <c r="C29" s="44">
        <f>+'FY18 sched A'!C24</f>
        <v>0.39350000000000002</v>
      </c>
    </row>
    <row r="30" spans="1:7" x14ac:dyDescent="0.25">
      <c r="B30" s="5" t="s">
        <v>39</v>
      </c>
      <c r="C30" s="44">
        <f>+'FY18 sched A'!C25</f>
        <v>0.39360000000000001</v>
      </c>
    </row>
    <row r="31" spans="1:7" x14ac:dyDescent="0.25">
      <c r="B31" s="5" t="s">
        <v>17</v>
      </c>
      <c r="C31" s="44">
        <f>+'FY18 sched A'!C26</f>
        <v>0.39019999999999999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D9" sqref="D9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7" width="13.5703125" bestFit="1" customWidth="1"/>
    <col min="8" max="8" width="11.85546875" bestFit="1" customWidth="1"/>
    <col min="9" max="9" width="11.85546875" customWidth="1"/>
    <col min="10" max="10" width="20.140625" bestFit="1" customWidth="1"/>
    <col min="11" max="12" width="13.5703125" bestFit="1" customWidth="1"/>
  </cols>
  <sheetData>
    <row r="1" spans="1:14" x14ac:dyDescent="0.25">
      <c r="A1" s="12"/>
      <c r="B1" s="12"/>
      <c r="C1" s="12"/>
      <c r="D1" s="13"/>
    </row>
    <row r="2" spans="1:14" x14ac:dyDescent="0.25">
      <c r="A2" s="15" t="s">
        <v>18</v>
      </c>
      <c r="B2" s="15" t="s">
        <v>19</v>
      </c>
      <c r="C2" s="15"/>
      <c r="D2" s="15" t="s">
        <v>20</v>
      </c>
      <c r="E2" s="16" t="s">
        <v>49</v>
      </c>
      <c r="F2" s="16" t="s">
        <v>58</v>
      </c>
      <c r="G2" s="16" t="s">
        <v>68</v>
      </c>
      <c r="H2" s="16" t="s">
        <v>79</v>
      </c>
      <c r="I2" s="16" t="s">
        <v>88</v>
      </c>
      <c r="J2" s="15" t="s">
        <v>25</v>
      </c>
      <c r="K2" s="12" t="s">
        <v>26</v>
      </c>
      <c r="L2" s="58">
        <f>+'FY21 sched A'!G18</f>
        <v>293810.05605249997</v>
      </c>
    </row>
    <row r="3" spans="1:14" x14ac:dyDescent="0.25">
      <c r="A3" s="15"/>
      <c r="B3" s="18"/>
      <c r="C3" s="18"/>
      <c r="D3" s="19"/>
    </row>
    <row r="4" spans="1:14" x14ac:dyDescent="0.25">
      <c r="A4" s="15"/>
      <c r="B4" s="18"/>
      <c r="C4" s="18"/>
      <c r="D4" s="19"/>
    </row>
    <row r="5" spans="1:14" x14ac:dyDescent="0.25">
      <c r="A5" s="15" t="s">
        <v>72</v>
      </c>
      <c r="B5" s="18" t="s">
        <v>49</v>
      </c>
      <c r="D5" s="19">
        <f>+'FY19 excess gifts'!D7</f>
        <v>580239</v>
      </c>
      <c r="E5" s="45">
        <f>+D5</f>
        <v>580239</v>
      </c>
    </row>
    <row r="6" spans="1:14" x14ac:dyDescent="0.25">
      <c r="A6" s="15" t="s">
        <v>72</v>
      </c>
      <c r="B6" s="18" t="s">
        <v>58</v>
      </c>
      <c r="D6" s="19">
        <f>+'FY19 excess gifts'!D8</f>
        <v>506000</v>
      </c>
      <c r="F6" s="45">
        <f>+D6</f>
        <v>506000</v>
      </c>
    </row>
    <row r="7" spans="1:14" x14ac:dyDescent="0.25">
      <c r="A7" s="15" t="s">
        <v>72</v>
      </c>
      <c r="B7" s="18" t="s">
        <v>68</v>
      </c>
      <c r="D7" s="19">
        <f>+'FY19 excess gifts'!D9</f>
        <v>684683</v>
      </c>
      <c r="G7" s="45">
        <f>+D7</f>
        <v>684683</v>
      </c>
      <c r="H7" s="58"/>
      <c r="I7" s="58"/>
      <c r="J7" s="45"/>
      <c r="K7" s="19"/>
      <c r="L7" s="19"/>
    </row>
    <row r="8" spans="1:14" x14ac:dyDescent="0.25">
      <c r="A8" s="15" t="s">
        <v>72</v>
      </c>
      <c r="B8" s="18" t="s">
        <v>79</v>
      </c>
      <c r="C8" s="18"/>
      <c r="D8" s="26">
        <f>+'FY20 excess gifts'!D9</f>
        <v>616683</v>
      </c>
      <c r="H8" s="58">
        <f>+D8</f>
        <v>616683</v>
      </c>
      <c r="I8" s="58"/>
      <c r="J8" s="45"/>
      <c r="K8" s="19"/>
      <c r="L8" s="19"/>
      <c r="N8" s="79" t="s">
        <v>83</v>
      </c>
    </row>
    <row r="9" spans="1:14" x14ac:dyDescent="0.25">
      <c r="A9" s="15" t="s">
        <v>72</v>
      </c>
      <c r="B9" s="18" t="s">
        <v>88</v>
      </c>
      <c r="C9" s="18"/>
      <c r="D9" s="26">
        <f>+D8*1.05</f>
        <v>647517.15</v>
      </c>
      <c r="H9" s="58"/>
      <c r="I9" s="58">
        <f>+D9</f>
        <v>647517.15</v>
      </c>
      <c r="J9" s="45">
        <f>SUM(E5:I9)</f>
        <v>3035122.15</v>
      </c>
      <c r="K9" s="19">
        <f>IF(J9&gt;L$2,L$2,J9)</f>
        <v>293810.05605249997</v>
      </c>
      <c r="L9" s="19">
        <f>IF(K9=L$2,J9-K9,0)</f>
        <v>2741312.0939475</v>
      </c>
      <c r="N9" s="37" t="s">
        <v>92</v>
      </c>
    </row>
    <row r="10" spans="1:14" x14ac:dyDescent="0.25">
      <c r="A10" s="15"/>
      <c r="B10" s="18"/>
      <c r="C10" s="18"/>
      <c r="D10" s="19"/>
    </row>
    <row r="11" spans="1:14" x14ac:dyDescent="0.25">
      <c r="A11" s="15" t="s">
        <v>29</v>
      </c>
      <c r="B11" s="18" t="s">
        <v>49</v>
      </c>
      <c r="C11" s="18"/>
      <c r="D11" s="19">
        <f>+'FY20 excess gifts'!D12</f>
        <v>86023</v>
      </c>
      <c r="E11" s="45">
        <f>+D11</f>
        <v>86023</v>
      </c>
    </row>
    <row r="12" spans="1:14" x14ac:dyDescent="0.25">
      <c r="A12" s="15" t="s">
        <v>29</v>
      </c>
      <c r="B12" s="18" t="s">
        <v>58</v>
      </c>
      <c r="C12" s="18"/>
      <c r="D12" s="72">
        <f>+'FY20 excess gifts'!D13</f>
        <v>110798</v>
      </c>
      <c r="F12" s="45">
        <f>+D12</f>
        <v>110798</v>
      </c>
      <c r="J12" s="45"/>
    </row>
    <row r="13" spans="1:14" x14ac:dyDescent="0.25">
      <c r="A13" s="15" t="s">
        <v>29</v>
      </c>
      <c r="B13" s="18" t="s">
        <v>68</v>
      </c>
      <c r="C13" s="18"/>
      <c r="D13" s="26">
        <f>+'FY20 excess gifts'!D14</f>
        <v>114000</v>
      </c>
      <c r="G13" s="45">
        <f>+D13</f>
        <v>114000</v>
      </c>
      <c r="H13" s="45"/>
      <c r="I13" s="45"/>
      <c r="J13" s="45"/>
      <c r="K13" s="19"/>
      <c r="L13" s="19"/>
    </row>
    <row r="14" spans="1:14" x14ac:dyDescent="0.25">
      <c r="A14" s="15" t="s">
        <v>29</v>
      </c>
      <c r="B14" s="18" t="s">
        <v>79</v>
      </c>
      <c r="C14" s="18"/>
      <c r="D14" s="26">
        <f>+'FY20 excess gifts'!D15</f>
        <v>125000</v>
      </c>
      <c r="H14" s="45">
        <f>+D14</f>
        <v>125000</v>
      </c>
      <c r="I14" s="45"/>
      <c r="J14" s="45"/>
      <c r="K14" s="19"/>
      <c r="L14" s="19"/>
    </row>
    <row r="15" spans="1:14" x14ac:dyDescent="0.25">
      <c r="A15" s="15" t="s">
        <v>29</v>
      </c>
      <c r="B15" s="18" t="s">
        <v>88</v>
      </c>
      <c r="C15" s="18"/>
      <c r="D15" s="63">
        <v>125000</v>
      </c>
      <c r="H15" s="45"/>
      <c r="I15" s="45">
        <f>+D15</f>
        <v>125000</v>
      </c>
      <c r="J15" s="45">
        <f>SUM(E11:I15)</f>
        <v>560821</v>
      </c>
      <c r="K15" s="19">
        <f>IF(J15&gt;L$2,L$2,J15)</f>
        <v>293810.05605249997</v>
      </c>
      <c r="L15" s="19">
        <f>IF(K15=L$2,J15-K15,0)</f>
        <v>267010.94394750003</v>
      </c>
    </row>
    <row r="16" spans="1:14" x14ac:dyDescent="0.25">
      <c r="A16" s="15"/>
      <c r="B16" s="18"/>
      <c r="C16" s="18"/>
      <c r="D16" s="19"/>
    </row>
    <row r="17" spans="1:12" x14ac:dyDescent="0.25">
      <c r="A17" s="15" t="s">
        <v>30</v>
      </c>
      <c r="B17" s="18" t="s">
        <v>49</v>
      </c>
      <c r="D17" s="19">
        <f>+'FY20 excess gifts'!D18</f>
        <v>25000</v>
      </c>
      <c r="E17" s="45">
        <f>+D17</f>
        <v>25000</v>
      </c>
    </row>
    <row r="18" spans="1:12" x14ac:dyDescent="0.25">
      <c r="A18" s="15" t="s">
        <v>30</v>
      </c>
      <c r="B18" s="18" t="s">
        <v>58</v>
      </c>
      <c r="D18" s="72">
        <f>+'FY20 excess gifts'!D19</f>
        <v>0</v>
      </c>
      <c r="F18" s="45">
        <f>+D18</f>
        <v>0</v>
      </c>
    </row>
    <row r="19" spans="1:12" x14ac:dyDescent="0.25">
      <c r="A19" s="15" t="s">
        <v>30</v>
      </c>
      <c r="B19" s="18" t="s">
        <v>68</v>
      </c>
      <c r="D19" s="26">
        <f>+'FY20 excess gifts'!D20</f>
        <v>0</v>
      </c>
      <c r="G19" s="45">
        <f>+D19</f>
        <v>0</v>
      </c>
      <c r="H19" s="45"/>
      <c r="I19" s="45"/>
      <c r="J19" s="45"/>
      <c r="K19" s="19"/>
      <c r="L19" s="19"/>
    </row>
    <row r="20" spans="1:12" x14ac:dyDescent="0.25">
      <c r="A20" s="15" t="s">
        <v>30</v>
      </c>
      <c r="B20" s="18" t="s">
        <v>79</v>
      </c>
      <c r="D20" s="26">
        <f>+'FY20 excess gifts'!D21</f>
        <v>25000</v>
      </c>
      <c r="G20" s="45"/>
      <c r="H20" s="45">
        <f>+D20</f>
        <v>25000</v>
      </c>
      <c r="I20" s="45"/>
      <c r="J20" s="45"/>
      <c r="K20" s="19"/>
      <c r="L20" s="19"/>
    </row>
    <row r="21" spans="1:12" x14ac:dyDescent="0.25">
      <c r="A21" s="15" t="s">
        <v>30</v>
      </c>
      <c r="B21" s="18" t="s">
        <v>88</v>
      </c>
      <c r="D21" s="63">
        <v>0</v>
      </c>
      <c r="G21" s="45"/>
      <c r="H21" s="45"/>
      <c r="I21" s="45">
        <f>+D21</f>
        <v>0</v>
      </c>
      <c r="J21" s="45">
        <f>SUM(E17:I21)</f>
        <v>50000</v>
      </c>
      <c r="K21" s="19">
        <f>IF(J21&gt;L$2,L$2,J21)</f>
        <v>50000</v>
      </c>
      <c r="L21" s="19">
        <f>IF(K21=L$2,J21-K21,0)</f>
        <v>0</v>
      </c>
    </row>
    <row r="22" spans="1:12" x14ac:dyDescent="0.25">
      <c r="A22" s="15"/>
      <c r="B22" s="18"/>
      <c r="C22" s="18"/>
      <c r="D22" s="19"/>
    </row>
    <row r="23" spans="1:12" x14ac:dyDescent="0.25">
      <c r="A23" s="15" t="s">
        <v>31</v>
      </c>
      <c r="B23" s="18" t="s">
        <v>49</v>
      </c>
      <c r="D23" s="19">
        <f>+'FY20 excess gifts'!D24</f>
        <v>100000</v>
      </c>
      <c r="E23" s="45">
        <f>+D23</f>
        <v>100000</v>
      </c>
    </row>
    <row r="24" spans="1:12" x14ac:dyDescent="0.25">
      <c r="A24" s="15" t="s">
        <v>31</v>
      </c>
      <c r="B24" s="18" t="s">
        <v>58</v>
      </c>
      <c r="D24" s="72">
        <f>+'FY20 excess gifts'!D25</f>
        <v>100000</v>
      </c>
      <c r="F24" s="45">
        <f>+D24</f>
        <v>100000</v>
      </c>
    </row>
    <row r="25" spans="1:12" x14ac:dyDescent="0.25">
      <c r="A25" s="15" t="s">
        <v>31</v>
      </c>
      <c r="B25" s="18" t="s">
        <v>68</v>
      </c>
      <c r="D25" s="26">
        <f>+'FY20 excess gifts'!D26</f>
        <v>25000</v>
      </c>
      <c r="G25" s="45">
        <f>+D25</f>
        <v>25000</v>
      </c>
      <c r="H25" s="45"/>
      <c r="I25" s="45"/>
      <c r="J25" s="45"/>
      <c r="K25" s="19"/>
      <c r="L25" s="19"/>
    </row>
    <row r="26" spans="1:12" x14ac:dyDescent="0.25">
      <c r="A26" s="15" t="s">
        <v>31</v>
      </c>
      <c r="B26" s="18" t="s">
        <v>79</v>
      </c>
      <c r="D26" s="26">
        <f>+'FY20 excess gifts'!D27</f>
        <v>25000</v>
      </c>
      <c r="G26" s="45"/>
      <c r="H26" s="45">
        <f>+D26</f>
        <v>25000</v>
      </c>
      <c r="I26" s="45"/>
      <c r="J26" s="45"/>
      <c r="K26" s="19"/>
      <c r="L26" s="19"/>
    </row>
    <row r="27" spans="1:12" x14ac:dyDescent="0.25">
      <c r="A27" s="15" t="s">
        <v>31</v>
      </c>
      <c r="B27" s="18" t="s">
        <v>88</v>
      </c>
      <c r="D27" s="63">
        <v>25000</v>
      </c>
      <c r="G27" s="45"/>
      <c r="H27" s="45"/>
      <c r="I27" s="45">
        <f>+D27</f>
        <v>25000</v>
      </c>
      <c r="J27" s="45">
        <f>SUM(E23:I27)</f>
        <v>275000</v>
      </c>
      <c r="K27" s="19">
        <f>IF(J27&gt;L$2,L$2,J27)</f>
        <v>275000</v>
      </c>
      <c r="L27" s="19">
        <f>IF(K27=L$2,J27-K27,0)</f>
        <v>0</v>
      </c>
    </row>
    <row r="28" spans="1:12" x14ac:dyDescent="0.25">
      <c r="A28" s="15"/>
      <c r="B28" s="18"/>
      <c r="C28" s="18"/>
      <c r="D28" s="19"/>
    </row>
    <row r="29" spans="1:12" x14ac:dyDescent="0.25">
      <c r="A29" s="15" t="s">
        <v>34</v>
      </c>
      <c r="B29" s="18" t="s">
        <v>49</v>
      </c>
      <c r="C29" s="18"/>
      <c r="D29" s="19">
        <f>+'FY20 excess gifts'!D30</f>
        <v>220000</v>
      </c>
      <c r="E29" s="45">
        <f>+D29</f>
        <v>220000</v>
      </c>
    </row>
    <row r="30" spans="1:12" x14ac:dyDescent="0.25">
      <c r="A30" s="15" t="s">
        <v>34</v>
      </c>
      <c r="B30" s="18" t="s">
        <v>58</v>
      </c>
      <c r="C30" s="18"/>
      <c r="D30" s="72">
        <f>+'FY20 excess gifts'!D31</f>
        <v>123000</v>
      </c>
      <c r="F30" s="45">
        <f>+D30</f>
        <v>123000</v>
      </c>
    </row>
    <row r="31" spans="1:12" x14ac:dyDescent="0.25">
      <c r="A31" s="15" t="s">
        <v>34</v>
      </c>
      <c r="B31" s="18" t="s">
        <v>68</v>
      </c>
      <c r="C31" s="18"/>
      <c r="D31" s="26">
        <f>+'FY20 excess gifts'!D32</f>
        <v>100000</v>
      </c>
      <c r="G31" s="45">
        <f>+D31</f>
        <v>100000</v>
      </c>
      <c r="H31" s="45"/>
      <c r="I31" s="45"/>
      <c r="J31" s="45"/>
      <c r="K31" s="19"/>
      <c r="L31" s="19"/>
    </row>
    <row r="32" spans="1:12" x14ac:dyDescent="0.25">
      <c r="A32" s="15" t="s">
        <v>34</v>
      </c>
      <c r="B32" s="18" t="s">
        <v>79</v>
      </c>
      <c r="C32" s="18"/>
      <c r="D32" s="26">
        <f>+'FY20 excess gifts'!D33</f>
        <v>100000</v>
      </c>
      <c r="G32" s="45"/>
      <c r="H32" s="45">
        <f>+D32</f>
        <v>100000</v>
      </c>
      <c r="I32" s="45"/>
      <c r="J32" s="45"/>
      <c r="K32" s="19"/>
      <c r="L32" s="19"/>
    </row>
    <row r="33" spans="1:12" x14ac:dyDescent="0.25">
      <c r="A33" s="15" t="s">
        <v>34</v>
      </c>
      <c r="B33" s="18" t="s">
        <v>88</v>
      </c>
      <c r="C33" s="18"/>
      <c r="D33" s="63">
        <v>100000</v>
      </c>
      <c r="G33" s="45"/>
      <c r="H33" s="45"/>
      <c r="I33" s="45">
        <f>+D33</f>
        <v>100000</v>
      </c>
      <c r="J33" s="45">
        <f>SUM(E29:I33)</f>
        <v>643000</v>
      </c>
      <c r="K33" s="19">
        <f>IF(J33&gt;L$2,L$2,J33)</f>
        <v>293810.05605249997</v>
      </c>
      <c r="L33" s="19">
        <f>IF(K33=L$2,J33-K33,0)</f>
        <v>349189.94394750003</v>
      </c>
    </row>
    <row r="34" spans="1:12" x14ac:dyDescent="0.25">
      <c r="A34" s="15"/>
      <c r="B34" s="18"/>
      <c r="C34" s="18"/>
      <c r="D34" s="19"/>
    </row>
    <row r="35" spans="1:12" x14ac:dyDescent="0.25">
      <c r="A35" s="15" t="s">
        <v>60</v>
      </c>
      <c r="B35" s="18" t="s">
        <v>49</v>
      </c>
      <c r="C35" s="18"/>
      <c r="D35" s="19">
        <f>+'FY20 excess gifts'!D36</f>
        <v>8000</v>
      </c>
      <c r="E35" s="45">
        <f>+D35</f>
        <v>8000</v>
      </c>
    </row>
    <row r="36" spans="1:12" x14ac:dyDescent="0.25">
      <c r="A36" s="15" t="s">
        <v>60</v>
      </c>
      <c r="B36" s="18" t="s">
        <v>58</v>
      </c>
      <c r="C36" s="18"/>
      <c r="D36" s="19">
        <f>+'FY20 excess gifts'!D37</f>
        <v>257500</v>
      </c>
      <c r="F36" s="45">
        <f>+D36</f>
        <v>257500</v>
      </c>
    </row>
    <row r="37" spans="1:12" x14ac:dyDescent="0.25">
      <c r="A37" s="15" t="s">
        <v>60</v>
      </c>
      <c r="B37" s="18" t="s">
        <v>68</v>
      </c>
      <c r="C37" s="18"/>
      <c r="D37" s="19">
        <f>+'FY20 excess gifts'!D38</f>
        <v>0</v>
      </c>
      <c r="G37" s="45">
        <f>+D37</f>
        <v>0</v>
      </c>
    </row>
    <row r="38" spans="1:12" x14ac:dyDescent="0.25">
      <c r="A38" s="15" t="s">
        <v>60</v>
      </c>
      <c r="B38" s="18" t="s">
        <v>79</v>
      </c>
      <c r="C38" s="18"/>
      <c r="D38" s="19">
        <f>+'FY20 excess gifts'!D39</f>
        <v>0</v>
      </c>
      <c r="H38" s="45">
        <f>+D38</f>
        <v>0</v>
      </c>
    </row>
    <row r="39" spans="1:12" x14ac:dyDescent="0.25">
      <c r="A39" s="15" t="s">
        <v>60</v>
      </c>
      <c r="B39" s="18" t="s">
        <v>88</v>
      </c>
      <c r="C39" s="18"/>
      <c r="D39" s="19">
        <v>0</v>
      </c>
      <c r="I39" s="45">
        <f>+D39</f>
        <v>0</v>
      </c>
      <c r="J39" s="45">
        <f>SUM(E35:I39)</f>
        <v>265500</v>
      </c>
      <c r="K39" s="19">
        <f>IF(J39&gt;L$2,L$2,J39)</f>
        <v>265500</v>
      </c>
      <c r="L39" s="19">
        <f>IF(K39=L$2,J39-K39,0)</f>
        <v>0</v>
      </c>
    </row>
    <row r="40" spans="1:12" x14ac:dyDescent="0.25">
      <c r="A40" s="15"/>
      <c r="B40" s="18"/>
      <c r="C40" s="18"/>
      <c r="D40" s="19"/>
    </row>
    <row r="41" spans="1:12" x14ac:dyDescent="0.25">
      <c r="A41" s="15" t="s">
        <v>43</v>
      </c>
      <c r="B41" s="18" t="s">
        <v>68</v>
      </c>
      <c r="C41" s="18"/>
      <c r="D41" s="19">
        <f>+'FY20 excess gifts'!D42</f>
        <v>420000</v>
      </c>
      <c r="G41" s="45">
        <f>+D41</f>
        <v>420000</v>
      </c>
      <c r="J41" s="45">
        <f>+G41</f>
        <v>420000</v>
      </c>
      <c r="K41" s="19">
        <f>IF(J41&gt;L$2,L$2,J41)</f>
        <v>293810.05605249997</v>
      </c>
      <c r="L41" s="19">
        <f>IF(K41=L$2,J41-K41,0)</f>
        <v>126189.94394750003</v>
      </c>
    </row>
    <row r="42" spans="1:12" x14ac:dyDescent="0.25">
      <c r="A42" s="15"/>
      <c r="B42" s="18"/>
      <c r="C42" s="18"/>
      <c r="D42" s="26"/>
    </row>
    <row r="43" spans="1:12" x14ac:dyDescent="0.25">
      <c r="A43" s="15"/>
      <c r="B43" s="18"/>
      <c r="C43" s="18"/>
      <c r="D43" s="19"/>
    </row>
    <row r="44" spans="1:12" x14ac:dyDescent="0.25">
      <c r="A44" s="16"/>
      <c r="B44" s="18"/>
      <c r="C44" s="18"/>
      <c r="D44" s="27"/>
      <c r="E44" s="62"/>
      <c r="F44" s="62"/>
      <c r="G44" s="62"/>
      <c r="H44" s="62"/>
      <c r="I44" s="62"/>
      <c r="J44" s="62"/>
      <c r="K44" s="62"/>
      <c r="L44" s="62"/>
    </row>
    <row r="45" spans="1:12" x14ac:dyDescent="0.25">
      <c r="A45" s="16"/>
      <c r="B45" s="18"/>
      <c r="C45" s="18"/>
      <c r="D45" s="19">
        <f>SUM(D5:D44)</f>
        <v>5249443.1500000004</v>
      </c>
      <c r="E45" s="45">
        <f>SUM(E5:E44)</f>
        <v>1019262</v>
      </c>
      <c r="F45" s="45">
        <f t="shared" ref="F45:I45" si="0">SUM(F5:F44)</f>
        <v>1097298</v>
      </c>
      <c r="G45" s="45">
        <f t="shared" si="0"/>
        <v>1343683</v>
      </c>
      <c r="H45" s="45">
        <f t="shared" si="0"/>
        <v>891683</v>
      </c>
      <c r="I45" s="45">
        <f t="shared" si="0"/>
        <v>897517.15</v>
      </c>
      <c r="J45" s="19">
        <f>SUM(J5:J44)</f>
        <v>5249443.1500000004</v>
      </c>
      <c r="K45" s="19">
        <f>SUM(K5:K44)</f>
        <v>1765740.2242099999</v>
      </c>
      <c r="L45" s="19">
        <f>SUM(L5:L44)</f>
        <v>3483702.9257900002</v>
      </c>
    </row>
    <row r="46" spans="1:12" x14ac:dyDescent="0.25">
      <c r="E46" s="45">
        <f>+E45-'FY20 excess gifts'!F45</f>
        <v>0</v>
      </c>
      <c r="F46" s="45">
        <f>+F45-'FY20 excess gifts'!G45</f>
        <v>0</v>
      </c>
      <c r="G46" s="45">
        <f>+G45-'FY20 excess gifts'!H45</f>
        <v>0</v>
      </c>
      <c r="H46" s="45">
        <f>+H45-'FY20 excess gifts'!I45</f>
        <v>0</v>
      </c>
    </row>
    <row r="48" spans="1:12" x14ac:dyDescent="0.25">
      <c r="A48" t="s">
        <v>44</v>
      </c>
    </row>
    <row r="49" spans="1:2" x14ac:dyDescent="0.25">
      <c r="A49" t="s">
        <v>93</v>
      </c>
      <c r="B49" s="45">
        <f>+'FY20 excess gifts'!J45</f>
        <v>5940920</v>
      </c>
    </row>
    <row r="50" spans="1:2" x14ac:dyDescent="0.25">
      <c r="A50" t="s">
        <v>94</v>
      </c>
      <c r="B50" s="45">
        <f>-SUM('FY20 excess gifts'!E5:E44)</f>
        <v>-1588994</v>
      </c>
    </row>
    <row r="51" spans="1:2" x14ac:dyDescent="0.25">
      <c r="A51" t="s">
        <v>95</v>
      </c>
      <c r="B51" s="77">
        <f>SUM(I5:I42)</f>
        <v>897517.15</v>
      </c>
    </row>
    <row r="52" spans="1:2" x14ac:dyDescent="0.25">
      <c r="B52" s="45">
        <f>SUM(B49:B51)</f>
        <v>5249443.1500000004</v>
      </c>
    </row>
    <row r="53" spans="1:2" x14ac:dyDescent="0.25">
      <c r="B53" s="45">
        <f>+B52-J45</f>
        <v>0</v>
      </c>
    </row>
    <row r="54" spans="1:2" x14ac:dyDescent="0.25">
      <c r="B54" s="45"/>
    </row>
    <row r="55" spans="1:2" x14ac:dyDescent="0.25">
      <c r="B55" s="45"/>
    </row>
    <row r="56" spans="1:2" x14ac:dyDescent="0.25">
      <c r="B56" s="45"/>
    </row>
    <row r="57" spans="1:2" x14ac:dyDescent="0.25">
      <c r="B57" s="4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7" sqref="K7"/>
    </sheetView>
  </sheetViews>
  <sheetFormatPr defaultRowHeight="15" x14ac:dyDescent="0.25"/>
  <cols>
    <col min="1" max="1" width="19.5703125" bestFit="1" customWidth="1"/>
    <col min="2" max="6" width="13.7109375" customWidth="1"/>
    <col min="7" max="7" width="14.5703125" bestFit="1" customWidth="1"/>
    <col min="8" max="8" width="13.7109375" customWidth="1"/>
    <col min="11" max="11" width="15.28515625" bestFit="1" customWidth="1"/>
    <col min="13" max="13" width="14.5703125" bestFit="1" customWidth="1"/>
  </cols>
  <sheetData>
    <row r="1" spans="1:13" ht="15.75" x14ac:dyDescent="0.25">
      <c r="A1" s="1"/>
      <c r="B1" s="2" t="s">
        <v>0</v>
      </c>
    </row>
    <row r="2" spans="1:13" ht="15.75" x14ac:dyDescent="0.25">
      <c r="A2" s="1"/>
      <c r="B2" s="3" t="s">
        <v>96</v>
      </c>
    </row>
    <row r="3" spans="1:13" x14ac:dyDescent="0.25">
      <c r="A3" s="1"/>
      <c r="B3" s="38"/>
    </row>
    <row r="4" spans="1:13" x14ac:dyDescent="0.25">
      <c r="A4" s="1"/>
      <c r="B4" s="39">
        <v>2017</v>
      </c>
      <c r="C4" s="39">
        <v>2018</v>
      </c>
      <c r="D4" s="39">
        <v>2019</v>
      </c>
      <c r="E4" s="39">
        <v>2020</v>
      </c>
      <c r="F4" s="39">
        <v>2021</v>
      </c>
      <c r="G4" s="61" t="s">
        <v>2</v>
      </c>
    </row>
    <row r="5" spans="1:13" x14ac:dyDescent="0.25">
      <c r="A5" s="1"/>
      <c r="B5" s="39" t="s">
        <v>58</v>
      </c>
      <c r="C5" s="39" t="s">
        <v>68</v>
      </c>
      <c r="D5" s="39" t="s">
        <v>79</v>
      </c>
      <c r="E5" s="39" t="s">
        <v>88</v>
      </c>
      <c r="F5" s="39" t="s">
        <v>97</v>
      </c>
    </row>
    <row r="6" spans="1:13" x14ac:dyDescent="0.25">
      <c r="A6" s="1"/>
      <c r="K6" t="s">
        <v>98</v>
      </c>
    </row>
    <row r="7" spans="1:13" s="53" customFormat="1" ht="105" x14ac:dyDescent="0.25">
      <c r="A7" s="67" t="s">
        <v>8</v>
      </c>
      <c r="B7" s="68">
        <f>+'FY19 sched A'!E7</f>
        <v>2125041</v>
      </c>
      <c r="C7" s="68">
        <f>+'FY19 sched A'!F7</f>
        <v>2804676.05</v>
      </c>
      <c r="D7" s="68">
        <f>+'FY20 sched A'!F7</f>
        <v>2401675.7024999997</v>
      </c>
      <c r="E7" s="68">
        <f>+'FY21 sched A'!F7</f>
        <v>2521759.4876249996</v>
      </c>
      <c r="F7" s="68">
        <f>+(K7*1.05)+'FY22 excess gifts'!I9+'FY22 excess gifts'!D42</f>
        <v>3097847.4620062499</v>
      </c>
      <c r="G7" s="69">
        <f>SUM(B7:F7)</f>
        <v>12950999.702131249</v>
      </c>
      <c r="H7" s="53" t="s">
        <v>99</v>
      </c>
      <c r="I7"/>
      <c r="J7"/>
      <c r="K7" s="45">
        <f>+'FY21 sched A'!F7-'FY21 excess gifts'!D9</f>
        <v>1874242.3376249997</v>
      </c>
      <c r="M7" s="45"/>
    </row>
    <row r="8" spans="1:13" x14ac:dyDescent="0.25">
      <c r="A8" s="1"/>
      <c r="B8" s="37"/>
      <c r="C8" s="37"/>
      <c r="D8" s="37"/>
      <c r="E8" s="37"/>
      <c r="F8" s="37"/>
      <c r="K8" s="45"/>
    </row>
    <row r="9" spans="1:13" x14ac:dyDescent="0.25">
      <c r="A9" s="1" t="s">
        <v>9</v>
      </c>
      <c r="B9" s="37"/>
      <c r="C9" s="37"/>
      <c r="D9" s="37"/>
      <c r="E9" s="37"/>
      <c r="F9" s="37"/>
      <c r="G9" s="45">
        <f>+'FY19 excess gifts'!L47</f>
        <v>4492707.154000001</v>
      </c>
      <c r="K9" s="58"/>
      <c r="M9" s="45"/>
    </row>
    <row r="10" spans="1:13" x14ac:dyDescent="0.25">
      <c r="A10" s="1"/>
      <c r="B10" s="37"/>
      <c r="C10" s="37"/>
      <c r="D10" s="37"/>
      <c r="E10" s="37"/>
      <c r="F10" s="37"/>
      <c r="K10" s="45"/>
    </row>
    <row r="11" spans="1:13" x14ac:dyDescent="0.25">
      <c r="A11" s="1" t="s">
        <v>10</v>
      </c>
      <c r="B11" s="37"/>
      <c r="C11" s="37"/>
      <c r="D11" s="37"/>
      <c r="E11" s="37"/>
      <c r="F11" s="37"/>
      <c r="G11" s="45">
        <f>+G7-G9</f>
        <v>8458292.548131248</v>
      </c>
      <c r="M11" s="45"/>
    </row>
    <row r="12" spans="1:13" x14ac:dyDescent="0.25">
      <c r="A12" s="1"/>
      <c r="B12" s="37"/>
      <c r="C12" s="37"/>
      <c r="D12" s="37"/>
      <c r="E12" s="37"/>
      <c r="F12" s="37"/>
    </row>
    <row r="13" spans="1:13" x14ac:dyDescent="0.25">
      <c r="A13" s="1" t="s">
        <v>11</v>
      </c>
      <c r="B13" s="60">
        <f>+'FY18 sched A'!F13</f>
        <v>2125041</v>
      </c>
      <c r="C13" s="60">
        <f>+C7</f>
        <v>2804676.05</v>
      </c>
      <c r="D13" s="59">
        <f>+D7</f>
        <v>2401675.7024999997</v>
      </c>
      <c r="E13" s="59">
        <f>+'FY21 sched A'!F13</f>
        <v>2521759.4876249996</v>
      </c>
      <c r="F13" s="59">
        <f>+F7</f>
        <v>3097847.4620062499</v>
      </c>
      <c r="G13" s="58">
        <f>SUM(B13:F13)</f>
        <v>12950999.702131249</v>
      </c>
      <c r="M13" s="45"/>
    </row>
    <row r="14" spans="1:13" x14ac:dyDescent="0.25">
      <c r="A14" s="1"/>
      <c r="B14" s="60"/>
      <c r="C14" s="60"/>
      <c r="D14" s="60"/>
      <c r="E14" s="60"/>
      <c r="F14" s="60"/>
    </row>
    <row r="15" spans="1:13" x14ac:dyDescent="0.25">
      <c r="A15" s="1" t="s">
        <v>12</v>
      </c>
      <c r="B15" s="60">
        <f>+'FY20 sched A'!D15</f>
        <v>697096</v>
      </c>
      <c r="C15" s="60">
        <f>+'FY20 sched A'!E15</f>
        <v>552320</v>
      </c>
      <c r="D15" s="60">
        <f>+'FY20 sched A'!F15</f>
        <v>565113.25</v>
      </c>
      <c r="E15" s="60">
        <f>+'FY21 sched A'!F15</f>
        <v>595743.3125</v>
      </c>
      <c r="F15" s="60">
        <f>AVERAGE(B15:E15)</f>
        <v>602568.140625</v>
      </c>
      <c r="G15" s="58">
        <f>SUM(B15:F15)</f>
        <v>3012840.703125</v>
      </c>
      <c r="M15" s="45"/>
    </row>
    <row r="16" spans="1:13" x14ac:dyDescent="0.25">
      <c r="A16" s="1"/>
    </row>
    <row r="17" spans="1:13" x14ac:dyDescent="0.25">
      <c r="A17" s="1" t="s">
        <v>13</v>
      </c>
      <c r="G17" s="45">
        <f>+G13+G15</f>
        <v>15963840.405256249</v>
      </c>
      <c r="M17" s="45"/>
    </row>
    <row r="18" spans="1:13" x14ac:dyDescent="0.25">
      <c r="A18" s="1" t="s">
        <v>15</v>
      </c>
      <c r="G18" s="58">
        <f>+G17*0.02</f>
        <v>319276.80810512498</v>
      </c>
      <c r="M18" s="58"/>
    </row>
    <row r="19" spans="1:13" x14ac:dyDescent="0.25">
      <c r="A19" s="1"/>
    </row>
    <row r="20" spans="1:13" x14ac:dyDescent="0.25">
      <c r="A20" s="1" t="s">
        <v>16</v>
      </c>
      <c r="G20" s="10">
        <f>+G11/G17</f>
        <v>0.52984071084463313</v>
      </c>
      <c r="M20" s="10"/>
    </row>
    <row r="23" spans="1:13" x14ac:dyDescent="0.25">
      <c r="B23" t="s">
        <v>100</v>
      </c>
      <c r="C23" s="44">
        <f>+'FY21 sched A'!G20</f>
        <v>0.49141130042431519</v>
      </c>
    </row>
    <row r="24" spans="1:13" x14ac:dyDescent="0.25">
      <c r="B24" t="s">
        <v>91</v>
      </c>
      <c r="C24" s="44">
        <f>+'FY20 sched A'!G20</f>
        <v>0.48092488645905673</v>
      </c>
    </row>
    <row r="25" spans="1:13" x14ac:dyDescent="0.25">
      <c r="B25" t="s">
        <v>82</v>
      </c>
      <c r="C25" s="44">
        <f>+'FY20 sched A'!C23</f>
        <v>0.45346236771014581</v>
      </c>
    </row>
    <row r="26" spans="1:13" x14ac:dyDescent="0.25">
      <c r="B26" t="s">
        <v>71</v>
      </c>
      <c r="C26" s="44">
        <f>+'FY18 sched A'!G20</f>
        <v>0.40638349901438853</v>
      </c>
    </row>
    <row r="27" spans="1:13" x14ac:dyDescent="0.25">
      <c r="B27" t="s">
        <v>59</v>
      </c>
      <c r="C27" s="44">
        <f>+'FY18 sched A'!C22</f>
        <v>0.38375158873609949</v>
      </c>
    </row>
    <row r="28" spans="1:13" x14ac:dyDescent="0.25">
      <c r="B28" t="s">
        <v>50</v>
      </c>
      <c r="C28" s="44">
        <f>+'FY18 sched A'!C23</f>
        <v>0.39761149543575552</v>
      </c>
    </row>
    <row r="29" spans="1:13" x14ac:dyDescent="0.25">
      <c r="B29" t="s">
        <v>42</v>
      </c>
      <c r="C29" s="44">
        <f>+'FY18 sched A'!C24</f>
        <v>0.39350000000000002</v>
      </c>
    </row>
    <row r="30" spans="1:13" x14ac:dyDescent="0.25">
      <c r="B30" s="5" t="s">
        <v>39</v>
      </c>
      <c r="C30" s="44">
        <f>+'FY18 sched A'!C25</f>
        <v>0.39360000000000001</v>
      </c>
    </row>
    <row r="31" spans="1:13" x14ac:dyDescent="0.25">
      <c r="B31" s="5" t="s">
        <v>17</v>
      </c>
      <c r="C31" s="44">
        <f>+'FY18 sched A'!C26</f>
        <v>0.39019999999999999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D8" sqref="D8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6" width="13.5703125" bestFit="1" customWidth="1"/>
    <col min="7" max="8" width="11.85546875" bestFit="1" customWidth="1"/>
    <col min="9" max="9" width="13.5703125" bestFit="1" customWidth="1"/>
    <col min="10" max="10" width="20.140625" bestFit="1" customWidth="1"/>
    <col min="11" max="12" width="13.5703125" bestFit="1" customWidth="1"/>
  </cols>
  <sheetData>
    <row r="1" spans="1:14" x14ac:dyDescent="0.25">
      <c r="A1" s="12"/>
      <c r="B1" s="12"/>
      <c r="C1" s="12"/>
      <c r="D1" s="13"/>
    </row>
    <row r="2" spans="1:14" x14ac:dyDescent="0.25">
      <c r="A2" s="15" t="s">
        <v>18</v>
      </c>
      <c r="B2" s="15" t="s">
        <v>19</v>
      </c>
      <c r="C2" s="15"/>
      <c r="D2" s="15" t="s">
        <v>20</v>
      </c>
      <c r="E2" s="16" t="s">
        <v>58</v>
      </c>
      <c r="F2" s="16" t="s">
        <v>68</v>
      </c>
      <c r="G2" s="16" t="s">
        <v>79</v>
      </c>
      <c r="H2" s="16" t="s">
        <v>88</v>
      </c>
      <c r="I2" s="16" t="s">
        <v>97</v>
      </c>
      <c r="J2" s="15" t="s">
        <v>25</v>
      </c>
      <c r="K2" s="12" t="s">
        <v>26</v>
      </c>
      <c r="L2" s="58">
        <f>+'FY22 sched A'!G18</f>
        <v>319276.80810512498</v>
      </c>
    </row>
    <row r="3" spans="1:14" x14ac:dyDescent="0.25">
      <c r="A3" s="15"/>
      <c r="B3" s="18"/>
      <c r="C3" s="18"/>
      <c r="D3" s="19"/>
    </row>
    <row r="4" spans="1:14" x14ac:dyDescent="0.25">
      <c r="A4" s="15"/>
      <c r="B4" s="18"/>
      <c r="C4" s="18"/>
      <c r="D4" s="19"/>
    </row>
    <row r="5" spans="1:14" x14ac:dyDescent="0.25">
      <c r="A5" s="15" t="s">
        <v>72</v>
      </c>
      <c r="B5" s="18" t="s">
        <v>58</v>
      </c>
      <c r="D5" s="32">
        <f>+'FY21 excess gifts'!D6</f>
        <v>506000</v>
      </c>
      <c r="E5" s="45">
        <f>+D5</f>
        <v>506000</v>
      </c>
    </row>
    <row r="6" spans="1:14" x14ac:dyDescent="0.25">
      <c r="A6" s="15" t="s">
        <v>72</v>
      </c>
      <c r="B6" s="18" t="s">
        <v>68</v>
      </c>
      <c r="D6" s="26">
        <f>+'FY21 excess gifts'!D7</f>
        <v>684683</v>
      </c>
      <c r="E6" s="37"/>
      <c r="F6" s="59">
        <f>+D6</f>
        <v>684683</v>
      </c>
      <c r="G6" s="60"/>
      <c r="H6" s="60"/>
      <c r="I6" s="60"/>
      <c r="J6" s="45"/>
      <c r="K6" s="19"/>
      <c r="L6" s="19"/>
    </row>
    <row r="7" spans="1:14" x14ac:dyDescent="0.25">
      <c r="A7" s="15" t="s">
        <v>72</v>
      </c>
      <c r="B7" s="18" t="s">
        <v>79</v>
      </c>
      <c r="C7" s="18"/>
      <c r="D7" s="26">
        <f>+'FY21 excess gifts'!D8</f>
        <v>616683</v>
      </c>
      <c r="E7" s="37"/>
      <c r="F7" s="37"/>
      <c r="G7" s="60">
        <f>+D7</f>
        <v>616683</v>
      </c>
      <c r="H7" s="60"/>
      <c r="I7" s="60"/>
      <c r="J7" s="45"/>
      <c r="K7" s="19"/>
      <c r="L7" s="19"/>
      <c r="N7" s="79" t="s">
        <v>83</v>
      </c>
    </row>
    <row r="8" spans="1:14" x14ac:dyDescent="0.25">
      <c r="A8" s="15" t="s">
        <v>72</v>
      </c>
      <c r="B8" s="18" t="s">
        <v>88</v>
      </c>
      <c r="C8" s="18"/>
      <c r="D8" s="26">
        <f>+'FY21 excess gifts'!D9</f>
        <v>647517.15</v>
      </c>
      <c r="E8" s="37"/>
      <c r="F8" s="37"/>
      <c r="G8" s="60"/>
      <c r="H8" s="60">
        <f>+D8</f>
        <v>647517.15</v>
      </c>
      <c r="I8" s="60"/>
      <c r="J8" s="45"/>
      <c r="K8" s="19"/>
      <c r="L8" s="19"/>
      <c r="N8" s="37" t="s">
        <v>92</v>
      </c>
    </row>
    <row r="9" spans="1:14" x14ac:dyDescent="0.25">
      <c r="A9" s="15" t="s">
        <v>72</v>
      </c>
      <c r="B9" s="18" t="s">
        <v>97</v>
      </c>
      <c r="C9" s="18"/>
      <c r="D9" s="26">
        <f>+D8*1.05</f>
        <v>679893.00750000007</v>
      </c>
      <c r="E9" s="37"/>
      <c r="F9" s="37"/>
      <c r="G9" s="60"/>
      <c r="H9" s="60"/>
      <c r="I9" s="59">
        <f>+D9</f>
        <v>679893.00750000007</v>
      </c>
      <c r="J9" s="45">
        <f>SUM(E5:I9)</f>
        <v>3134776.1574999997</v>
      </c>
      <c r="K9" s="19">
        <f>IF(J9&gt;L$2,L$2,J9)</f>
        <v>319276.80810512498</v>
      </c>
      <c r="L9" s="19">
        <f>IF(K9=L$2,J9-K9,0)</f>
        <v>2815499.3493948746</v>
      </c>
      <c r="N9" s="37" t="s">
        <v>92</v>
      </c>
    </row>
    <row r="10" spans="1:14" x14ac:dyDescent="0.25">
      <c r="A10" s="15"/>
      <c r="B10" s="18"/>
      <c r="C10" s="18"/>
      <c r="D10" s="19"/>
    </row>
    <row r="11" spans="1:14" x14ac:dyDescent="0.25">
      <c r="A11" s="15" t="s">
        <v>29</v>
      </c>
      <c r="B11" s="18" t="s">
        <v>58</v>
      </c>
      <c r="C11" s="18"/>
      <c r="D11" s="32">
        <f>+'FY20 excess gifts'!D13</f>
        <v>110798</v>
      </c>
      <c r="E11" s="45">
        <f>+D11</f>
        <v>110798</v>
      </c>
      <c r="J11" s="45"/>
    </row>
    <row r="12" spans="1:14" x14ac:dyDescent="0.25">
      <c r="A12" s="15" t="s">
        <v>29</v>
      </c>
      <c r="B12" s="18" t="s">
        <v>68</v>
      </c>
      <c r="C12" s="18"/>
      <c r="D12" s="26">
        <f>+'FY20 excess gifts'!D14</f>
        <v>114000</v>
      </c>
      <c r="E12" s="37"/>
      <c r="F12" s="59">
        <f>+D12</f>
        <v>114000</v>
      </c>
      <c r="G12" s="59"/>
      <c r="H12" s="59"/>
      <c r="I12" s="59"/>
      <c r="J12" s="45"/>
      <c r="K12" s="19"/>
      <c r="L12" s="19"/>
    </row>
    <row r="13" spans="1:14" x14ac:dyDescent="0.25">
      <c r="A13" s="15" t="s">
        <v>29</v>
      </c>
      <c r="B13" s="18" t="s">
        <v>79</v>
      </c>
      <c r="C13" s="18"/>
      <c r="D13" s="26">
        <f>+'FY20 excess gifts'!D15</f>
        <v>125000</v>
      </c>
      <c r="E13" s="37"/>
      <c r="F13" s="37"/>
      <c r="G13" s="59">
        <f>+D13</f>
        <v>125000</v>
      </c>
      <c r="H13" s="59"/>
      <c r="I13" s="59"/>
      <c r="J13" s="45"/>
      <c r="K13" s="19"/>
      <c r="L13" s="19"/>
    </row>
    <row r="14" spans="1:14" x14ac:dyDescent="0.25">
      <c r="A14" s="15" t="s">
        <v>29</v>
      </c>
      <c r="B14" s="18" t="s">
        <v>88</v>
      </c>
      <c r="C14" s="18"/>
      <c r="D14" s="26">
        <f>+'FY21 excess gifts'!D15</f>
        <v>125000</v>
      </c>
      <c r="E14" s="37"/>
      <c r="F14" s="37"/>
      <c r="G14" s="59"/>
      <c r="H14" s="59">
        <f>+D14</f>
        <v>125000</v>
      </c>
      <c r="I14" s="59"/>
      <c r="J14" s="45"/>
      <c r="K14" s="19"/>
      <c r="L14" s="19"/>
    </row>
    <row r="15" spans="1:14" x14ac:dyDescent="0.25">
      <c r="A15" s="15" t="s">
        <v>29</v>
      </c>
      <c r="B15" s="18" t="s">
        <v>97</v>
      </c>
      <c r="C15" s="18"/>
      <c r="D15" s="26">
        <v>125000</v>
      </c>
      <c r="E15" s="37"/>
      <c r="F15" s="37"/>
      <c r="G15" s="59"/>
      <c r="H15" s="59"/>
      <c r="I15" s="59">
        <f>+D15</f>
        <v>125000</v>
      </c>
      <c r="J15" s="45">
        <f>SUM(E11:I15)</f>
        <v>599798</v>
      </c>
      <c r="K15" s="19">
        <f>IF(J15&gt;L$2,L$2,J15)</f>
        <v>319276.80810512498</v>
      </c>
      <c r="L15" s="19">
        <f>IF(K15=L$2,J15-K15,0)</f>
        <v>280521.19189487502</v>
      </c>
    </row>
    <row r="16" spans="1:14" x14ac:dyDescent="0.25">
      <c r="A16" s="15"/>
      <c r="B16" s="18"/>
      <c r="C16" s="18"/>
      <c r="D16" s="19"/>
    </row>
    <row r="17" spans="1:12" x14ac:dyDescent="0.25">
      <c r="A17" s="15" t="s">
        <v>30</v>
      </c>
      <c r="B17" s="18" t="s">
        <v>58</v>
      </c>
      <c r="D17" s="32">
        <f>+'FY21 excess gifts'!D18</f>
        <v>0</v>
      </c>
      <c r="E17" s="45">
        <f>+D17</f>
        <v>0</v>
      </c>
    </row>
    <row r="18" spans="1:12" x14ac:dyDescent="0.25">
      <c r="A18" s="15" t="s">
        <v>30</v>
      </c>
      <c r="B18" s="18" t="s">
        <v>68</v>
      </c>
      <c r="D18" s="32">
        <f>+'FY21 excess gifts'!D19</f>
        <v>0</v>
      </c>
      <c r="E18" s="37"/>
      <c r="F18" s="59">
        <f>+D18</f>
        <v>0</v>
      </c>
      <c r="G18" s="59"/>
      <c r="H18" s="59"/>
      <c r="I18" s="59"/>
      <c r="J18" s="45"/>
      <c r="K18" s="19"/>
      <c r="L18" s="19"/>
    </row>
    <row r="19" spans="1:12" x14ac:dyDescent="0.25">
      <c r="A19" s="15" t="s">
        <v>30</v>
      </c>
      <c r="B19" s="18" t="s">
        <v>79</v>
      </c>
      <c r="D19" s="32">
        <f>+'FY21 excess gifts'!D20</f>
        <v>25000</v>
      </c>
      <c r="E19" s="37"/>
      <c r="F19" s="59"/>
      <c r="G19" s="59">
        <f>+D19</f>
        <v>25000</v>
      </c>
      <c r="H19" s="59"/>
      <c r="I19" s="59"/>
      <c r="J19" s="45"/>
      <c r="K19" s="19"/>
      <c r="L19" s="19"/>
    </row>
    <row r="20" spans="1:12" x14ac:dyDescent="0.25">
      <c r="A20" s="15" t="s">
        <v>30</v>
      </c>
      <c r="B20" s="18" t="s">
        <v>88</v>
      </c>
      <c r="D20" s="32">
        <f>+'FY21 excess gifts'!D21</f>
        <v>0</v>
      </c>
      <c r="E20" s="37"/>
      <c r="F20" s="59"/>
      <c r="G20" s="59"/>
      <c r="H20" s="59">
        <f>+D20</f>
        <v>0</v>
      </c>
      <c r="I20" s="59"/>
      <c r="J20" s="45"/>
      <c r="K20" s="19"/>
      <c r="L20" s="19"/>
    </row>
    <row r="21" spans="1:12" x14ac:dyDescent="0.25">
      <c r="A21" s="15" t="s">
        <v>30</v>
      </c>
      <c r="B21" s="18" t="s">
        <v>97</v>
      </c>
      <c r="D21" s="26">
        <v>25000</v>
      </c>
      <c r="E21" s="37"/>
      <c r="F21" s="59"/>
      <c r="G21" s="59"/>
      <c r="H21" s="59"/>
      <c r="I21" s="59">
        <f>+D21</f>
        <v>25000</v>
      </c>
      <c r="J21" s="45">
        <f>SUM(E17:I21)</f>
        <v>50000</v>
      </c>
      <c r="K21" s="19">
        <f>IF(J21&gt;L$2,L$2,J21)</f>
        <v>50000</v>
      </c>
      <c r="L21" s="19">
        <f>IF(K21=L$2,J21-K21,0)</f>
        <v>0</v>
      </c>
    </row>
    <row r="22" spans="1:12" x14ac:dyDescent="0.25">
      <c r="A22" s="15"/>
      <c r="B22" s="18"/>
      <c r="C22" s="18"/>
      <c r="D22" s="19"/>
    </row>
    <row r="23" spans="1:12" x14ac:dyDescent="0.25">
      <c r="A23" s="15" t="s">
        <v>31</v>
      </c>
      <c r="B23" s="18" t="s">
        <v>58</v>
      </c>
      <c r="D23" s="32">
        <f>+'FY21 excess gifts'!D24</f>
        <v>100000</v>
      </c>
      <c r="E23" s="45">
        <f>+D23</f>
        <v>100000</v>
      </c>
    </row>
    <row r="24" spans="1:12" x14ac:dyDescent="0.25">
      <c r="A24" s="15" t="s">
        <v>31</v>
      </c>
      <c r="B24" s="18" t="s">
        <v>68</v>
      </c>
      <c r="D24" s="26">
        <f>+'FY21 excess gifts'!D25</f>
        <v>25000</v>
      </c>
      <c r="F24" s="45">
        <f>+D24</f>
        <v>25000</v>
      </c>
      <c r="G24" s="45"/>
      <c r="H24" s="45"/>
      <c r="I24" s="45"/>
      <c r="J24" s="45"/>
      <c r="K24" s="19"/>
      <c r="L24" s="19"/>
    </row>
    <row r="25" spans="1:12" x14ac:dyDescent="0.25">
      <c r="A25" s="15" t="s">
        <v>31</v>
      </c>
      <c r="B25" s="18" t="s">
        <v>79</v>
      </c>
      <c r="D25" s="26">
        <f>+'FY21 excess gifts'!D26</f>
        <v>25000</v>
      </c>
      <c r="F25" s="45"/>
      <c r="G25" s="45">
        <f>+D25</f>
        <v>25000</v>
      </c>
      <c r="H25" s="45"/>
      <c r="I25" s="45"/>
      <c r="J25" s="45"/>
      <c r="K25" s="19"/>
      <c r="L25" s="19"/>
    </row>
    <row r="26" spans="1:12" x14ac:dyDescent="0.25">
      <c r="A26" s="15" t="s">
        <v>31</v>
      </c>
      <c r="B26" s="18" t="s">
        <v>88</v>
      </c>
      <c r="D26" s="26">
        <f>+'FY21 excess gifts'!D27</f>
        <v>25000</v>
      </c>
      <c r="F26" s="45"/>
      <c r="G26" s="45"/>
      <c r="H26" s="45">
        <f>+D26</f>
        <v>25000</v>
      </c>
      <c r="I26" s="45"/>
      <c r="J26" s="45"/>
      <c r="K26" s="19"/>
      <c r="L26" s="19"/>
    </row>
    <row r="27" spans="1:12" x14ac:dyDescent="0.25">
      <c r="A27" s="15" t="s">
        <v>31</v>
      </c>
      <c r="B27" s="18" t="s">
        <v>97</v>
      </c>
      <c r="D27" s="26">
        <v>25000</v>
      </c>
      <c r="F27" s="45"/>
      <c r="G27" s="45"/>
      <c r="H27" s="45"/>
      <c r="I27" s="45">
        <f>+D27</f>
        <v>25000</v>
      </c>
      <c r="J27" s="45">
        <f>SUM(E23:I27)</f>
        <v>200000</v>
      </c>
      <c r="K27" s="19">
        <f>IF(J27&gt;L$2,L$2,J27)</f>
        <v>200000</v>
      </c>
      <c r="L27" s="19">
        <f>IF(K27=L$2,J27-K27,0)</f>
        <v>0</v>
      </c>
    </row>
    <row r="28" spans="1:12" x14ac:dyDescent="0.25">
      <c r="A28" s="15"/>
      <c r="B28" s="18"/>
      <c r="C28" s="18"/>
      <c r="D28" s="19"/>
    </row>
    <row r="29" spans="1:12" x14ac:dyDescent="0.25">
      <c r="A29" s="15" t="s">
        <v>34</v>
      </c>
      <c r="B29" s="18" t="s">
        <v>58</v>
      </c>
      <c r="C29" s="18"/>
      <c r="D29" s="32">
        <f>+'FY21 excess gifts'!D30</f>
        <v>123000</v>
      </c>
      <c r="E29" s="45">
        <f>+D29</f>
        <v>123000</v>
      </c>
    </row>
    <row r="30" spans="1:12" x14ac:dyDescent="0.25">
      <c r="A30" s="15" t="s">
        <v>34</v>
      </c>
      <c r="B30" s="18" t="s">
        <v>68</v>
      </c>
      <c r="C30" s="18"/>
      <c r="D30" s="26">
        <f>+'FY21 excess gifts'!D31</f>
        <v>100000</v>
      </c>
      <c r="F30" s="45">
        <f>+D30</f>
        <v>100000</v>
      </c>
      <c r="G30" s="45"/>
      <c r="H30" s="45"/>
      <c r="I30" s="45"/>
      <c r="J30" s="45"/>
      <c r="K30" s="19"/>
      <c r="L30" s="19"/>
    </row>
    <row r="31" spans="1:12" x14ac:dyDescent="0.25">
      <c r="A31" s="15" t="s">
        <v>34</v>
      </c>
      <c r="B31" s="18" t="s">
        <v>79</v>
      </c>
      <c r="C31" s="18"/>
      <c r="D31" s="26">
        <f>+'FY21 excess gifts'!D32</f>
        <v>100000</v>
      </c>
      <c r="F31" s="45"/>
      <c r="G31" s="45">
        <f>+D31</f>
        <v>100000</v>
      </c>
      <c r="H31" s="45"/>
      <c r="I31" s="45"/>
      <c r="J31" s="45"/>
      <c r="K31" s="19"/>
      <c r="L31" s="19"/>
    </row>
    <row r="32" spans="1:12" x14ac:dyDescent="0.25">
      <c r="A32" s="15" t="s">
        <v>34</v>
      </c>
      <c r="B32" s="18" t="s">
        <v>88</v>
      </c>
      <c r="C32" s="18"/>
      <c r="D32" s="26">
        <f>+'FY21 excess gifts'!D33</f>
        <v>100000</v>
      </c>
      <c r="F32" s="45"/>
      <c r="G32" s="45"/>
      <c r="H32" s="45">
        <f>+D32</f>
        <v>100000</v>
      </c>
      <c r="I32" s="45"/>
      <c r="J32" s="45"/>
      <c r="K32" s="19"/>
      <c r="L32" s="19"/>
    </row>
    <row r="33" spans="1:14" x14ac:dyDescent="0.25">
      <c r="A33" s="15" t="s">
        <v>34</v>
      </c>
      <c r="B33" s="18" t="s">
        <v>97</v>
      </c>
      <c r="C33" s="18"/>
      <c r="D33" s="26">
        <v>100000</v>
      </c>
      <c r="F33" s="45"/>
      <c r="G33" s="45"/>
      <c r="H33" s="45"/>
      <c r="I33" s="45">
        <f>+D33</f>
        <v>100000</v>
      </c>
      <c r="J33" s="45">
        <f>SUM(E29:I33)</f>
        <v>523000</v>
      </c>
      <c r="K33" s="19">
        <f>IF(J33&gt;L$2,L$2,J33)</f>
        <v>319276.80810512498</v>
      </c>
      <c r="L33" s="19">
        <f>IF(K33=L$2,J33-K33,0)</f>
        <v>203723.19189487502</v>
      </c>
    </row>
    <row r="34" spans="1:14" x14ac:dyDescent="0.25">
      <c r="A34" s="15"/>
      <c r="B34" s="18"/>
      <c r="C34" s="18"/>
      <c r="D34" s="19"/>
    </row>
    <row r="35" spans="1:14" x14ac:dyDescent="0.25">
      <c r="A35" s="15" t="s">
        <v>60</v>
      </c>
      <c r="B35" s="18" t="s">
        <v>58</v>
      </c>
      <c r="C35" s="18"/>
      <c r="D35" s="19">
        <f>+'FY21 excess gifts'!D36</f>
        <v>257500</v>
      </c>
      <c r="E35" s="45">
        <f>+D35</f>
        <v>257500</v>
      </c>
    </row>
    <row r="36" spans="1:14" x14ac:dyDescent="0.25">
      <c r="A36" s="15" t="s">
        <v>60</v>
      </c>
      <c r="B36" s="18" t="s">
        <v>68</v>
      </c>
      <c r="C36" s="18"/>
      <c r="D36" s="19">
        <f>+'FY21 excess gifts'!D37</f>
        <v>0</v>
      </c>
      <c r="F36" s="45">
        <f>+D36</f>
        <v>0</v>
      </c>
    </row>
    <row r="37" spans="1:14" x14ac:dyDescent="0.25">
      <c r="A37" s="15" t="s">
        <v>60</v>
      </c>
      <c r="B37" s="18" t="s">
        <v>79</v>
      </c>
      <c r="C37" s="18"/>
      <c r="D37" s="19">
        <f>+'FY21 excess gifts'!D38</f>
        <v>0</v>
      </c>
      <c r="G37" s="45">
        <f>+D37</f>
        <v>0</v>
      </c>
    </row>
    <row r="38" spans="1:14" x14ac:dyDescent="0.25">
      <c r="A38" s="15" t="s">
        <v>60</v>
      </c>
      <c r="B38" s="18" t="s">
        <v>88</v>
      </c>
      <c r="C38" s="18"/>
      <c r="D38" s="19">
        <f>+'FY21 excess gifts'!D39</f>
        <v>0</v>
      </c>
      <c r="H38" s="45">
        <f>+D38</f>
        <v>0</v>
      </c>
    </row>
    <row r="39" spans="1:14" x14ac:dyDescent="0.25">
      <c r="A39" s="15" t="s">
        <v>60</v>
      </c>
      <c r="B39" s="18" t="s">
        <v>97</v>
      </c>
      <c r="C39" s="18"/>
      <c r="D39" s="19">
        <v>0</v>
      </c>
      <c r="I39" s="45">
        <f>+D39</f>
        <v>0</v>
      </c>
      <c r="J39" s="45">
        <f>SUM(E35:I39)</f>
        <v>257500</v>
      </c>
      <c r="K39" s="19">
        <f>IF(J39&gt;L$2,L$2,J39)</f>
        <v>257500</v>
      </c>
      <c r="L39" s="19">
        <f>IF(K39=L$2,J39-K39,0)</f>
        <v>0</v>
      </c>
    </row>
    <row r="40" spans="1:14" x14ac:dyDescent="0.25">
      <c r="A40" s="15"/>
      <c r="B40" s="18"/>
      <c r="C40" s="18"/>
      <c r="D40" s="19"/>
    </row>
    <row r="41" spans="1:14" x14ac:dyDescent="0.25">
      <c r="A41" s="15" t="s">
        <v>43</v>
      </c>
      <c r="B41" s="18" t="s">
        <v>68</v>
      </c>
      <c r="C41" s="18"/>
      <c r="D41" s="26">
        <f>+'FY21 excess gifts'!D41</f>
        <v>420000</v>
      </c>
      <c r="F41" s="45">
        <f>+D41</f>
        <v>420000</v>
      </c>
      <c r="J41" s="45"/>
      <c r="K41" s="19"/>
      <c r="L41" s="19"/>
    </row>
    <row r="42" spans="1:14" x14ac:dyDescent="0.25">
      <c r="A42" s="15" t="s">
        <v>43</v>
      </c>
      <c r="B42" s="18" t="s">
        <v>97</v>
      </c>
      <c r="C42" s="18"/>
      <c r="D42" s="26">
        <v>450000</v>
      </c>
      <c r="I42" s="45">
        <f>+D42</f>
        <v>450000</v>
      </c>
      <c r="J42" s="45">
        <f>SUM(E41:I42)</f>
        <v>870000</v>
      </c>
      <c r="K42" s="19">
        <f>IF(J42&gt;L$2,L$2,J42)</f>
        <v>319276.80810512498</v>
      </c>
      <c r="L42" s="19">
        <f>IF(K42=L$2,J42-K42,0)</f>
        <v>550723.19189487502</v>
      </c>
      <c r="N42" s="37" t="s">
        <v>101</v>
      </c>
    </row>
    <row r="43" spans="1:14" x14ac:dyDescent="0.25">
      <c r="A43" s="15"/>
      <c r="B43" s="18"/>
      <c r="C43" s="18"/>
      <c r="D43" s="19"/>
    </row>
    <row r="44" spans="1:14" x14ac:dyDescent="0.25">
      <c r="A44" s="16"/>
      <c r="B44" s="18"/>
      <c r="C44" s="18"/>
      <c r="D44" s="27"/>
      <c r="E44" s="62"/>
      <c r="F44" s="62"/>
      <c r="G44" s="62"/>
      <c r="H44" s="62"/>
      <c r="I44" s="62"/>
      <c r="J44" s="62"/>
      <c r="K44" s="62"/>
      <c r="L44" s="62"/>
    </row>
    <row r="45" spans="1:14" x14ac:dyDescent="0.25">
      <c r="A45" s="16"/>
      <c r="B45" s="18"/>
      <c r="C45" s="18"/>
      <c r="D45" s="19">
        <f>SUM(D5:D44)</f>
        <v>5635074.1574999997</v>
      </c>
      <c r="E45" s="45">
        <f>SUM(E5:E44)</f>
        <v>1097298</v>
      </c>
      <c r="F45" s="45">
        <f t="shared" ref="F45:H45" si="0">SUM(F5:F44)</f>
        <v>1343683</v>
      </c>
      <c r="G45" s="45">
        <f t="shared" si="0"/>
        <v>891683</v>
      </c>
      <c r="H45" s="45">
        <f t="shared" si="0"/>
        <v>897517.15</v>
      </c>
      <c r="I45" s="45">
        <f>SUM(I5:I44)</f>
        <v>1404893.0075000001</v>
      </c>
      <c r="J45" s="19">
        <f>SUM(J5:J44)</f>
        <v>5635074.1574999997</v>
      </c>
      <c r="K45" s="19">
        <f>SUM(K5:K44)</f>
        <v>1784607.2324204999</v>
      </c>
      <c r="L45" s="19">
        <f>SUM(L5:L44)</f>
        <v>3850466.9250794994</v>
      </c>
    </row>
    <row r="46" spans="1:14" x14ac:dyDescent="0.25">
      <c r="E46" s="45">
        <f>+E45-'FY21 excess gifts'!F45</f>
        <v>0</v>
      </c>
      <c r="F46" s="45">
        <f>+F45-'FY21 excess gifts'!G45</f>
        <v>0</v>
      </c>
      <c r="G46" s="45">
        <f>+G45-'FY21 excess gifts'!H45</f>
        <v>0</v>
      </c>
      <c r="H46" s="45">
        <f>+H45-'FY21 excess gifts'!I45</f>
        <v>0</v>
      </c>
    </row>
    <row r="48" spans="1:14" x14ac:dyDescent="0.25">
      <c r="A48" t="s">
        <v>44</v>
      </c>
    </row>
    <row r="49" spans="1:2" x14ac:dyDescent="0.25">
      <c r="A49" t="s">
        <v>102</v>
      </c>
      <c r="B49" s="45">
        <f>+'FY21 excess gifts'!J45</f>
        <v>5249443.1500000004</v>
      </c>
    </row>
    <row r="50" spans="1:2" x14ac:dyDescent="0.25">
      <c r="A50" t="s">
        <v>103</v>
      </c>
      <c r="B50" s="45">
        <f>-SUM('FY21 excess gifts'!E5:E44)</f>
        <v>-1019262</v>
      </c>
    </row>
    <row r="51" spans="1:2" x14ac:dyDescent="0.25">
      <c r="A51" t="s">
        <v>104</v>
      </c>
      <c r="B51" s="77">
        <f>+I45</f>
        <v>1404893.0075000001</v>
      </c>
    </row>
    <row r="52" spans="1:2" x14ac:dyDescent="0.25">
      <c r="B52" s="45">
        <f>SUM(B49:B51)</f>
        <v>5635074.1575000007</v>
      </c>
    </row>
    <row r="53" spans="1:2" x14ac:dyDescent="0.25">
      <c r="B53" s="45">
        <f>+B52-J45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2" sqref="B22:C33"/>
    </sheetView>
  </sheetViews>
  <sheetFormatPr defaultRowHeight="15" x14ac:dyDescent="0.25"/>
  <cols>
    <col min="1" max="1" width="19.5703125" bestFit="1" customWidth="1"/>
    <col min="2" max="3" width="13.28515625" customWidth="1"/>
    <col min="4" max="6" width="13.5703125" bestFit="1" customWidth="1"/>
    <col min="7" max="7" width="14.5703125" bestFit="1" customWidth="1"/>
    <col min="8" max="8" width="16.7109375" customWidth="1"/>
    <col min="11" max="11" width="13.5703125" bestFit="1" customWidth="1"/>
  </cols>
  <sheetData>
    <row r="1" spans="1:11" ht="15.75" x14ac:dyDescent="0.25">
      <c r="A1" s="1"/>
      <c r="B1" s="2" t="s">
        <v>0</v>
      </c>
    </row>
    <row r="2" spans="1:11" ht="15.75" x14ac:dyDescent="0.25">
      <c r="A2" s="1"/>
      <c r="B2" s="3" t="s">
        <v>105</v>
      </c>
    </row>
    <row r="3" spans="1:11" x14ac:dyDescent="0.25">
      <c r="A3" s="1"/>
      <c r="B3" s="38"/>
    </row>
    <row r="4" spans="1:11" x14ac:dyDescent="0.25">
      <c r="A4" s="1"/>
      <c r="B4" s="39">
        <v>2017</v>
      </c>
      <c r="C4" s="39">
        <v>2018</v>
      </c>
      <c r="D4" s="39">
        <v>2019</v>
      </c>
      <c r="E4" s="39">
        <v>2020</v>
      </c>
      <c r="F4" s="39">
        <v>2021</v>
      </c>
      <c r="G4" s="61" t="s">
        <v>2</v>
      </c>
    </row>
    <row r="5" spans="1:11" x14ac:dyDescent="0.25">
      <c r="A5" s="1"/>
      <c r="B5" s="39" t="s">
        <v>58</v>
      </c>
      <c r="C5" s="39" t="s">
        <v>68</v>
      </c>
      <c r="D5" s="39" t="s">
        <v>79</v>
      </c>
      <c r="E5" s="39" t="s">
        <v>88</v>
      </c>
      <c r="F5" s="39" t="s">
        <v>97</v>
      </c>
    </row>
    <row r="6" spans="1:11" x14ac:dyDescent="0.25">
      <c r="A6" s="1"/>
      <c r="K6" t="s">
        <v>106</v>
      </c>
    </row>
    <row r="7" spans="1:11" s="53" customFormat="1" ht="60" x14ac:dyDescent="0.25">
      <c r="A7" s="67" t="s">
        <v>8</v>
      </c>
      <c r="B7" s="68">
        <f>+'FY19 sched A'!E7</f>
        <v>2125041</v>
      </c>
      <c r="C7" s="68">
        <f>+'FY19 sched A'!F7</f>
        <v>2804676.05</v>
      </c>
      <c r="D7" s="68">
        <f>+'FY20 sched A'!F7</f>
        <v>2401675.7024999997</v>
      </c>
      <c r="E7" s="68">
        <f>+'FY21 sched A'!F7</f>
        <v>2521759.4876249996</v>
      </c>
      <c r="F7" s="68">
        <f>+(K7*1.05)+'FY23 excess gifts'!D9</f>
        <v>2780239.8351065628</v>
      </c>
      <c r="G7" s="69">
        <f>SUM(B7:F7)</f>
        <v>12633392.075231561</v>
      </c>
      <c r="H7" s="53" t="s">
        <v>107</v>
      </c>
      <c r="K7" s="69">
        <f>+'FY22 sched A'!F7-'FY22 excess gifts'!D9-'FY22 excess gifts'!D42</f>
        <v>1967954.4545062501</v>
      </c>
    </row>
    <row r="8" spans="1:11" x14ac:dyDescent="0.25">
      <c r="A8" s="1"/>
      <c r="B8" s="37"/>
      <c r="C8" s="37"/>
      <c r="D8" s="37"/>
      <c r="E8" s="37"/>
      <c r="F8" s="37"/>
    </row>
    <row r="9" spans="1:11" x14ac:dyDescent="0.25">
      <c r="A9" s="1" t="s">
        <v>9</v>
      </c>
      <c r="B9" s="37"/>
      <c r="C9" s="37"/>
      <c r="D9" s="37"/>
      <c r="E9" s="37"/>
      <c r="F9" s="37"/>
      <c r="G9" s="45">
        <f>+'FY19 excess gifts'!L47</f>
        <v>4492707.154000001</v>
      </c>
    </row>
    <row r="10" spans="1:11" x14ac:dyDescent="0.25">
      <c r="A10" s="1"/>
      <c r="B10" s="37"/>
      <c r="C10" s="37"/>
      <c r="D10" s="37"/>
      <c r="E10" s="37"/>
      <c r="F10" s="37"/>
    </row>
    <row r="11" spans="1:11" x14ac:dyDescent="0.25">
      <c r="A11" s="1" t="s">
        <v>10</v>
      </c>
      <c r="B11" s="37"/>
      <c r="C11" s="37"/>
      <c r="D11" s="37"/>
      <c r="E11" s="37"/>
      <c r="F11" s="37"/>
      <c r="G11" s="45">
        <f>+G7-G9</f>
        <v>8140684.9212315604</v>
      </c>
    </row>
    <row r="12" spans="1:11" x14ac:dyDescent="0.25">
      <c r="A12" s="1"/>
      <c r="B12" s="37"/>
      <c r="C12" s="37"/>
      <c r="D12" s="37"/>
      <c r="E12" s="37"/>
      <c r="F12" s="37"/>
    </row>
    <row r="13" spans="1:11" x14ac:dyDescent="0.25">
      <c r="A13" s="1" t="s">
        <v>11</v>
      </c>
      <c r="B13" s="60">
        <f>+'FY18 sched A'!F13</f>
        <v>2125041</v>
      </c>
      <c r="C13" s="60">
        <f>+C7</f>
        <v>2804676.05</v>
      </c>
      <c r="D13" s="59">
        <f>+D7</f>
        <v>2401675.7024999997</v>
      </c>
      <c r="E13" s="59">
        <f>+'FY21 sched A'!F13</f>
        <v>2521759.4876249996</v>
      </c>
      <c r="F13" s="59">
        <f>+F7</f>
        <v>2780239.8351065628</v>
      </c>
      <c r="G13" s="58">
        <f>SUM(B13:F13)</f>
        <v>12633392.075231561</v>
      </c>
    </row>
    <row r="14" spans="1:11" x14ac:dyDescent="0.25">
      <c r="A14" s="1"/>
      <c r="B14" s="60"/>
      <c r="C14" s="60"/>
      <c r="D14" s="60"/>
      <c r="E14" s="60"/>
      <c r="F14" s="60"/>
    </row>
    <row r="15" spans="1:11" x14ac:dyDescent="0.25">
      <c r="A15" s="1" t="s">
        <v>12</v>
      </c>
      <c r="B15" s="60">
        <f>+'FY20 sched A'!D15</f>
        <v>697096</v>
      </c>
      <c r="C15" s="60">
        <f>+'FY20 sched A'!E15</f>
        <v>552320</v>
      </c>
      <c r="D15" s="60">
        <f>+'FY20 sched A'!F15</f>
        <v>565113.25</v>
      </c>
      <c r="E15" s="60">
        <f>+'FY21 sched A'!F15</f>
        <v>595743.3125</v>
      </c>
      <c r="F15" s="60">
        <v>500000</v>
      </c>
      <c r="G15" s="58">
        <f>SUM(B15:F15)</f>
        <v>2910272.5625</v>
      </c>
    </row>
    <row r="16" spans="1:11" x14ac:dyDescent="0.25">
      <c r="A16" s="1"/>
    </row>
    <row r="17" spans="1:7" x14ac:dyDescent="0.25">
      <c r="A17" s="1" t="s">
        <v>13</v>
      </c>
      <c r="G17" s="45">
        <f>+G13+G15</f>
        <v>15543664.637731561</v>
      </c>
    </row>
    <row r="18" spans="1:7" x14ac:dyDescent="0.25">
      <c r="A18" s="1" t="s">
        <v>15</v>
      </c>
      <c r="G18" s="58">
        <f>+G17*0.02</f>
        <v>310873.29275463126</v>
      </c>
    </row>
    <row r="19" spans="1:7" x14ac:dyDescent="0.25">
      <c r="A19" s="1"/>
    </row>
    <row r="20" spans="1:7" x14ac:dyDescent="0.25">
      <c r="A20" s="1" t="s">
        <v>16</v>
      </c>
      <c r="G20" s="10">
        <f>+G11/G17</f>
        <v>0.52373009267521164</v>
      </c>
    </row>
    <row r="22" spans="1:7" x14ac:dyDescent="0.25">
      <c r="B22" t="s">
        <v>108</v>
      </c>
      <c r="C22" s="44">
        <f>+G20</f>
        <v>0.52373009267521164</v>
      </c>
    </row>
    <row r="23" spans="1:7" x14ac:dyDescent="0.25">
      <c r="B23" t="s">
        <v>109</v>
      </c>
      <c r="C23" s="44">
        <f>+'FY22 sched A'!G20</f>
        <v>0.52984071084463313</v>
      </c>
    </row>
    <row r="24" spans="1:7" x14ac:dyDescent="0.25">
      <c r="B24" t="s">
        <v>100</v>
      </c>
      <c r="C24" s="44">
        <f>+'FY21 sched A'!G20</f>
        <v>0.49141130042431519</v>
      </c>
    </row>
    <row r="25" spans="1:7" x14ac:dyDescent="0.25">
      <c r="B25" t="s">
        <v>91</v>
      </c>
      <c r="C25" s="44">
        <f>+'FY20 sched A'!G20</f>
        <v>0.48092488645905673</v>
      </c>
    </row>
    <row r="26" spans="1:7" x14ac:dyDescent="0.25">
      <c r="B26" t="s">
        <v>82</v>
      </c>
      <c r="C26" s="44">
        <f>+'FY20 sched A'!C23</f>
        <v>0.45346236771014581</v>
      </c>
    </row>
    <row r="27" spans="1:7" x14ac:dyDescent="0.25">
      <c r="B27" t="s">
        <v>71</v>
      </c>
      <c r="C27" s="44">
        <f>+'FY18 sched A'!G20</f>
        <v>0.40638349901438853</v>
      </c>
    </row>
    <row r="28" spans="1:7" x14ac:dyDescent="0.25">
      <c r="B28" t="s">
        <v>59</v>
      </c>
      <c r="C28" s="44">
        <f>+'FY18 sched A'!C22</f>
        <v>0.38375158873609949</v>
      </c>
    </row>
    <row r="29" spans="1:7" x14ac:dyDescent="0.25">
      <c r="B29" t="s">
        <v>50</v>
      </c>
      <c r="C29" s="44">
        <f>+'FY18 sched A'!C23</f>
        <v>0.39761149543575552</v>
      </c>
    </row>
    <row r="30" spans="1:7" x14ac:dyDescent="0.25">
      <c r="B30" t="s">
        <v>42</v>
      </c>
      <c r="C30" s="44">
        <f>+'FY18 sched A'!C24</f>
        <v>0.39350000000000002</v>
      </c>
    </row>
    <row r="31" spans="1:7" x14ac:dyDescent="0.25">
      <c r="B31" s="5" t="s">
        <v>39</v>
      </c>
      <c r="C31" s="44">
        <f>+'FY18 sched A'!C25</f>
        <v>0.39360000000000001</v>
      </c>
    </row>
    <row r="32" spans="1:7" x14ac:dyDescent="0.25">
      <c r="B32" s="5" t="s">
        <v>17</v>
      </c>
      <c r="C32" s="44">
        <f>+'FY18 sched A'!C26</f>
        <v>0.39019999999999999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D8" sqref="D8"/>
    </sheetView>
  </sheetViews>
  <sheetFormatPr defaultRowHeight="15" x14ac:dyDescent="0.25"/>
  <cols>
    <col min="1" max="1" width="28.42578125" bestFit="1" customWidth="1"/>
    <col min="4" max="9" width="15.7109375" customWidth="1"/>
    <col min="10" max="10" width="22.140625" customWidth="1"/>
    <col min="11" max="12" width="15.7109375" customWidth="1"/>
  </cols>
  <sheetData>
    <row r="1" spans="1:12" x14ac:dyDescent="0.25">
      <c r="A1" s="12"/>
      <c r="B1" s="12"/>
      <c r="C1" s="12"/>
      <c r="D1" s="13"/>
      <c r="E1" s="12"/>
      <c r="F1" s="12"/>
      <c r="G1" s="12"/>
      <c r="H1" s="12"/>
      <c r="I1" s="12"/>
      <c r="J1" s="12"/>
      <c r="K1" s="14"/>
      <c r="L1" s="12"/>
    </row>
    <row r="2" spans="1:12" x14ac:dyDescent="0.25">
      <c r="A2" s="15" t="s">
        <v>18</v>
      </c>
      <c r="B2" s="15" t="s">
        <v>19</v>
      </c>
      <c r="C2" s="15"/>
      <c r="D2" s="15" t="s">
        <v>20</v>
      </c>
      <c r="E2" s="16" t="s">
        <v>21</v>
      </c>
      <c r="F2" s="16" t="s">
        <v>22</v>
      </c>
      <c r="G2" s="16" t="s">
        <v>23</v>
      </c>
      <c r="H2" s="16" t="s">
        <v>24</v>
      </c>
      <c r="I2" s="16" t="s">
        <v>7</v>
      </c>
      <c r="J2" s="15" t="s">
        <v>25</v>
      </c>
      <c r="K2" s="12" t="s">
        <v>26</v>
      </c>
      <c r="L2" s="17">
        <f>0.02*'FY14 sched A'!G17</f>
        <v>244528.18</v>
      </c>
    </row>
    <row r="3" spans="1:12" x14ac:dyDescent="0.25">
      <c r="A3" s="15"/>
      <c r="B3" s="18"/>
      <c r="C3" s="18"/>
      <c r="D3" s="19"/>
      <c r="E3" s="15"/>
      <c r="F3" s="15"/>
      <c r="G3" s="15"/>
      <c r="H3" s="15"/>
      <c r="I3" s="15"/>
      <c r="J3" s="19"/>
      <c r="K3" s="19"/>
      <c r="L3" s="19"/>
    </row>
    <row r="4" spans="1:12" x14ac:dyDescent="0.25">
      <c r="A4" s="15" t="s">
        <v>27</v>
      </c>
      <c r="B4" s="18" t="s">
        <v>3</v>
      </c>
      <c r="C4" s="18"/>
      <c r="D4" s="19">
        <v>410045.77</v>
      </c>
      <c r="E4" s="20">
        <f>+D4</f>
        <v>410045.77</v>
      </c>
      <c r="F4" s="20"/>
      <c r="G4" s="20"/>
      <c r="H4" s="20"/>
      <c r="I4" s="20"/>
      <c r="J4" s="19"/>
      <c r="K4" s="19"/>
      <c r="L4" s="19"/>
    </row>
    <row r="5" spans="1:12" x14ac:dyDescent="0.25">
      <c r="A5" s="15" t="s">
        <v>27</v>
      </c>
      <c r="B5" s="18" t="s">
        <v>4</v>
      </c>
      <c r="C5" s="18"/>
      <c r="D5" s="19">
        <v>555521</v>
      </c>
      <c r="E5" s="21"/>
      <c r="F5" s="20">
        <f>+D5</f>
        <v>555521</v>
      </c>
      <c r="G5" s="20"/>
      <c r="H5" s="20"/>
      <c r="I5" s="20"/>
      <c r="J5" s="19"/>
      <c r="K5" s="19"/>
      <c r="L5" s="19"/>
    </row>
    <row r="6" spans="1:12" x14ac:dyDescent="0.25">
      <c r="A6" s="15" t="s">
        <v>27</v>
      </c>
      <c r="B6" s="18" t="s">
        <v>5</v>
      </c>
      <c r="C6" s="18"/>
      <c r="D6" s="19">
        <v>996967</v>
      </c>
      <c r="E6" s="21"/>
      <c r="F6" s="20"/>
      <c r="G6" s="20">
        <f>+D6</f>
        <v>996967</v>
      </c>
      <c r="H6" s="20"/>
      <c r="I6" s="20"/>
      <c r="J6" s="19"/>
      <c r="K6" s="19"/>
      <c r="L6" s="19"/>
    </row>
    <row r="7" spans="1:12" x14ac:dyDescent="0.25">
      <c r="A7" s="15" t="s">
        <v>27</v>
      </c>
      <c r="B7" s="18" t="s">
        <v>6</v>
      </c>
      <c r="C7" s="18"/>
      <c r="D7" s="19">
        <v>782167</v>
      </c>
      <c r="E7" s="21"/>
      <c r="F7" s="20"/>
      <c r="G7" s="20"/>
      <c r="H7" s="22">
        <f>+D7</f>
        <v>782167</v>
      </c>
      <c r="I7" s="22"/>
      <c r="K7" s="19"/>
      <c r="L7" s="19"/>
    </row>
    <row r="8" spans="1:12" x14ac:dyDescent="0.25">
      <c r="A8" s="15" t="s">
        <v>27</v>
      </c>
      <c r="B8" s="18" t="s">
        <v>7</v>
      </c>
      <c r="C8" s="18"/>
      <c r="D8" s="19">
        <v>691698</v>
      </c>
      <c r="E8" s="21"/>
      <c r="F8" s="20"/>
      <c r="G8" s="20"/>
      <c r="H8" s="22"/>
      <c r="I8" s="22">
        <f>+D8</f>
        <v>691698</v>
      </c>
      <c r="J8" s="19">
        <f>SUM(E4:I8)</f>
        <v>3436398.77</v>
      </c>
      <c r="K8" s="19">
        <f>IF(J8&gt;L$2,L$2,J8)</f>
        <v>244528.18</v>
      </c>
      <c r="L8" s="19">
        <f>IF(K8=L$2,J8-K8,0)</f>
        <v>3191870.59</v>
      </c>
    </row>
    <row r="9" spans="1:12" x14ac:dyDescent="0.25">
      <c r="A9" s="23"/>
      <c r="B9" s="18"/>
      <c r="C9" s="18"/>
      <c r="D9" s="19"/>
      <c r="E9" s="20"/>
      <c r="F9" s="20"/>
      <c r="G9" s="20"/>
      <c r="H9" s="22"/>
      <c r="I9" s="22"/>
      <c r="J9" s="19"/>
      <c r="K9" s="19"/>
      <c r="L9" s="19"/>
    </row>
    <row r="10" spans="1:12" x14ac:dyDescent="0.25">
      <c r="A10" s="15" t="s">
        <v>28</v>
      </c>
      <c r="B10" s="18" t="s">
        <v>4</v>
      </c>
      <c r="C10" s="18"/>
      <c r="D10" s="19">
        <v>500000</v>
      </c>
      <c r="E10" s="15"/>
      <c r="F10" s="20">
        <f>+D10</f>
        <v>500000</v>
      </c>
      <c r="G10" s="15"/>
      <c r="H10" s="24"/>
      <c r="I10" s="24"/>
      <c r="J10" s="19"/>
      <c r="K10" s="19"/>
      <c r="L10" s="19"/>
    </row>
    <row r="11" spans="1:12" x14ac:dyDescent="0.25">
      <c r="A11" s="15" t="s">
        <v>28</v>
      </c>
      <c r="B11" s="18" t="s">
        <v>6</v>
      </c>
      <c r="C11" s="18"/>
      <c r="D11" s="19">
        <v>336890.85</v>
      </c>
      <c r="E11" s="15"/>
      <c r="F11" s="15"/>
      <c r="G11" s="15"/>
      <c r="H11" s="22">
        <f>+D11</f>
        <v>336890.85</v>
      </c>
      <c r="I11" s="22"/>
      <c r="K11" s="19"/>
      <c r="L11" s="19"/>
    </row>
    <row r="12" spans="1:12" x14ac:dyDescent="0.25">
      <c r="A12" s="15" t="s">
        <v>28</v>
      </c>
      <c r="B12" s="18" t="s">
        <v>7</v>
      </c>
      <c r="C12" s="18"/>
      <c r="D12" s="19">
        <v>2275.75</v>
      </c>
      <c r="E12" s="15"/>
      <c r="F12" s="15"/>
      <c r="G12" s="15"/>
      <c r="H12" s="22"/>
      <c r="I12" s="22">
        <f>+D12</f>
        <v>2275.75</v>
      </c>
      <c r="J12" s="19">
        <f>SUM(E10:I12)</f>
        <v>839166.6</v>
      </c>
      <c r="K12" s="19">
        <f>IF(J12&gt;L$2,L$2,J12)</f>
        <v>244528.18</v>
      </c>
      <c r="L12" s="19">
        <f>IF(K12=L$2,J12-K12,0)</f>
        <v>594638.41999999993</v>
      </c>
    </row>
    <row r="13" spans="1:12" x14ac:dyDescent="0.25">
      <c r="A13" s="15"/>
      <c r="B13" s="18"/>
      <c r="C13" s="18"/>
      <c r="D13" s="19"/>
      <c r="E13" s="15"/>
      <c r="F13" s="15"/>
      <c r="G13" s="15"/>
      <c r="H13" s="24"/>
      <c r="I13" s="24"/>
      <c r="J13" s="19"/>
      <c r="K13" s="19"/>
      <c r="L13" s="19"/>
    </row>
    <row r="14" spans="1:12" x14ac:dyDescent="0.25">
      <c r="A14" s="15" t="s">
        <v>29</v>
      </c>
      <c r="B14" s="18" t="s">
        <v>3</v>
      </c>
      <c r="C14" s="18"/>
      <c r="D14" s="19">
        <v>75000</v>
      </c>
      <c r="E14" s="20">
        <f>+D14</f>
        <v>75000</v>
      </c>
      <c r="F14" s="20"/>
      <c r="G14" s="20"/>
      <c r="H14" s="22"/>
      <c r="I14" s="22"/>
      <c r="J14" s="19"/>
      <c r="K14" s="19"/>
      <c r="L14" s="19"/>
    </row>
    <row r="15" spans="1:12" x14ac:dyDescent="0.25">
      <c r="A15" s="15" t="s">
        <v>29</v>
      </c>
      <c r="B15" s="18" t="s">
        <v>4</v>
      </c>
      <c r="C15" s="18"/>
      <c r="D15" s="19">
        <v>75000</v>
      </c>
      <c r="E15" s="20"/>
      <c r="F15" s="20">
        <f>+D15</f>
        <v>75000</v>
      </c>
      <c r="G15" s="20"/>
      <c r="H15" s="22"/>
      <c r="I15" s="22"/>
      <c r="J15" s="19"/>
      <c r="K15" s="19"/>
      <c r="L15" s="19"/>
    </row>
    <row r="16" spans="1:12" x14ac:dyDescent="0.25">
      <c r="A16" s="15" t="s">
        <v>29</v>
      </c>
      <c r="B16" s="18" t="s">
        <v>5</v>
      </c>
      <c r="C16" s="18"/>
      <c r="D16" s="19">
        <v>75000</v>
      </c>
      <c r="E16" s="20"/>
      <c r="F16" s="20"/>
      <c r="G16" s="20">
        <f>+D16</f>
        <v>75000</v>
      </c>
      <c r="H16" s="22"/>
      <c r="I16" s="22"/>
      <c r="J16" s="19"/>
      <c r="K16" s="19"/>
      <c r="L16" s="19"/>
    </row>
    <row r="17" spans="1:12" x14ac:dyDescent="0.25">
      <c r="A17" s="15" t="s">
        <v>29</v>
      </c>
      <c r="B17" s="18" t="s">
        <v>6</v>
      </c>
      <c r="C17" s="18"/>
      <c r="D17" s="19">
        <v>75000</v>
      </c>
      <c r="E17" s="21"/>
      <c r="F17" s="20"/>
      <c r="G17" s="20"/>
      <c r="H17" s="22">
        <f>+D17</f>
        <v>75000</v>
      </c>
      <c r="I17" s="22"/>
      <c r="K17" s="19"/>
      <c r="L17" s="19"/>
    </row>
    <row r="18" spans="1:12" x14ac:dyDescent="0.25">
      <c r="A18" s="15" t="s">
        <v>29</v>
      </c>
      <c r="B18" s="18" t="s">
        <v>7</v>
      </c>
      <c r="C18" s="18"/>
      <c r="D18" s="19">
        <v>35000</v>
      </c>
      <c r="E18" s="21"/>
      <c r="F18" s="20"/>
      <c r="G18" s="20"/>
      <c r="H18" s="22"/>
      <c r="I18" s="22">
        <f>+D18</f>
        <v>35000</v>
      </c>
      <c r="J18" s="19">
        <f>SUM(E14:I18)</f>
        <v>335000</v>
      </c>
      <c r="K18" s="19">
        <f>IF(J18&gt;L$2,L$2,J18)</f>
        <v>244528.18</v>
      </c>
      <c r="L18" s="19">
        <f>IF(K18=L$2,J18-K18,0)</f>
        <v>90471.82</v>
      </c>
    </row>
    <row r="19" spans="1:12" x14ac:dyDescent="0.25">
      <c r="A19" s="15"/>
      <c r="B19" s="18"/>
      <c r="C19" s="18"/>
      <c r="D19" s="19"/>
      <c r="E19" s="21"/>
      <c r="F19" s="20"/>
      <c r="G19" s="20"/>
      <c r="H19" s="22"/>
      <c r="I19" s="22"/>
      <c r="J19" s="19"/>
      <c r="K19" s="19"/>
      <c r="L19" s="19"/>
    </row>
    <row r="20" spans="1:12" x14ac:dyDescent="0.25">
      <c r="A20" s="15" t="s">
        <v>30</v>
      </c>
      <c r="B20" s="18" t="s">
        <v>4</v>
      </c>
      <c r="C20" s="18"/>
      <c r="D20" s="19">
        <v>100000</v>
      </c>
      <c r="E20" s="15"/>
      <c r="F20" s="20">
        <f>+D20</f>
        <v>100000</v>
      </c>
      <c r="G20" s="15"/>
      <c r="H20" s="24"/>
      <c r="I20" s="24"/>
      <c r="J20" s="19"/>
      <c r="K20" s="19"/>
      <c r="L20" s="19"/>
    </row>
    <row r="21" spans="1:12" x14ac:dyDescent="0.25">
      <c r="A21" s="15" t="s">
        <v>30</v>
      </c>
      <c r="B21" s="18" t="s">
        <v>5</v>
      </c>
      <c r="C21" s="18"/>
      <c r="D21" s="19">
        <v>180000</v>
      </c>
      <c r="E21" s="15"/>
      <c r="F21" s="15"/>
      <c r="G21" s="20">
        <f>+D21</f>
        <v>180000</v>
      </c>
      <c r="H21" s="24"/>
      <c r="I21" s="24"/>
      <c r="J21" s="19"/>
      <c r="K21" s="19"/>
      <c r="L21" s="19"/>
    </row>
    <row r="22" spans="1:12" x14ac:dyDescent="0.25">
      <c r="A22" s="15" t="s">
        <v>30</v>
      </c>
      <c r="B22" s="18" t="s">
        <v>6</v>
      </c>
      <c r="C22" s="18"/>
      <c r="D22" s="19">
        <v>150000</v>
      </c>
      <c r="E22" s="20"/>
      <c r="F22" s="20"/>
      <c r="G22" s="20"/>
      <c r="H22" s="22">
        <f>+D22</f>
        <v>150000</v>
      </c>
      <c r="I22" s="22"/>
      <c r="K22" s="19"/>
      <c r="L22" s="19"/>
    </row>
    <row r="23" spans="1:12" x14ac:dyDescent="0.25">
      <c r="A23" s="15" t="s">
        <v>30</v>
      </c>
      <c r="B23" s="18" t="s">
        <v>7</v>
      </c>
      <c r="C23" s="18"/>
      <c r="D23" s="19">
        <v>85000</v>
      </c>
      <c r="E23" s="20"/>
      <c r="F23" s="20"/>
      <c r="G23" s="20"/>
      <c r="H23" s="22"/>
      <c r="I23" s="22">
        <f>+D23</f>
        <v>85000</v>
      </c>
      <c r="J23" s="19">
        <f>SUM(E20:I23)</f>
        <v>515000</v>
      </c>
      <c r="K23" s="19">
        <f>IF(J23&gt;L$2,L$2,J23)</f>
        <v>244528.18</v>
      </c>
      <c r="L23" s="19">
        <f>IF(K23=L$2,J23-K23,0)</f>
        <v>270471.82</v>
      </c>
    </row>
    <row r="24" spans="1:12" x14ac:dyDescent="0.25">
      <c r="A24" s="15"/>
      <c r="B24" s="18"/>
      <c r="C24" s="18"/>
      <c r="D24" s="19"/>
      <c r="E24" s="20"/>
      <c r="F24" s="20"/>
      <c r="G24" s="20"/>
      <c r="H24" s="22"/>
      <c r="I24" s="22"/>
      <c r="J24" s="19"/>
      <c r="K24" s="19"/>
      <c r="L24" s="19"/>
    </row>
    <row r="25" spans="1:12" x14ac:dyDescent="0.25">
      <c r="A25" s="15" t="s">
        <v>31</v>
      </c>
      <c r="B25" s="18" t="s">
        <v>3</v>
      </c>
      <c r="C25" s="18"/>
      <c r="D25" s="19">
        <v>2050</v>
      </c>
      <c r="E25" s="20">
        <f>+D25</f>
        <v>2050</v>
      </c>
      <c r="F25" s="20"/>
      <c r="G25" s="20"/>
      <c r="H25" s="22"/>
      <c r="I25" s="22"/>
      <c r="J25" s="19"/>
      <c r="K25" s="19"/>
      <c r="L25" s="19"/>
    </row>
    <row r="26" spans="1:12" x14ac:dyDescent="0.25">
      <c r="A26" s="15" t="s">
        <v>31</v>
      </c>
      <c r="B26" s="18" t="s">
        <v>4</v>
      </c>
      <c r="C26" s="18"/>
      <c r="D26" s="19">
        <v>50000</v>
      </c>
      <c r="E26" s="20"/>
      <c r="F26" s="20">
        <f>+D26</f>
        <v>50000</v>
      </c>
      <c r="G26" s="20"/>
      <c r="H26" s="22"/>
      <c r="I26" s="22"/>
      <c r="J26" s="19"/>
      <c r="K26" s="19"/>
      <c r="L26" s="19"/>
    </row>
    <row r="27" spans="1:12" x14ac:dyDescent="0.25">
      <c r="A27" s="15" t="s">
        <v>31</v>
      </c>
      <c r="B27" s="18" t="s">
        <v>5</v>
      </c>
      <c r="C27" s="18"/>
      <c r="D27" s="19">
        <v>50200</v>
      </c>
      <c r="E27" s="20"/>
      <c r="F27" s="20"/>
      <c r="G27" s="20">
        <f>+D27</f>
        <v>50200</v>
      </c>
      <c r="H27" s="22"/>
      <c r="I27" s="22"/>
      <c r="J27" s="19"/>
      <c r="K27" s="19"/>
      <c r="L27" s="19"/>
    </row>
    <row r="28" spans="1:12" x14ac:dyDescent="0.25">
      <c r="A28" s="15" t="s">
        <v>31</v>
      </c>
      <c r="B28" s="18" t="s">
        <v>6</v>
      </c>
      <c r="C28" s="18"/>
      <c r="D28" s="19">
        <v>288326</v>
      </c>
      <c r="E28" s="20"/>
      <c r="F28" s="20"/>
      <c r="G28" s="20"/>
      <c r="H28" s="22">
        <f>+D28</f>
        <v>288326</v>
      </c>
      <c r="I28" s="22"/>
      <c r="K28" s="19"/>
      <c r="L28" s="19"/>
    </row>
    <row r="29" spans="1:12" x14ac:dyDescent="0.25">
      <c r="A29" s="15" t="s">
        <v>31</v>
      </c>
      <c r="B29" s="18" t="s">
        <v>7</v>
      </c>
      <c r="C29" s="18"/>
      <c r="D29" s="19">
        <v>340000</v>
      </c>
      <c r="E29" s="20"/>
      <c r="F29" s="20"/>
      <c r="G29" s="20"/>
      <c r="H29" s="22"/>
      <c r="I29" s="22">
        <f>+D29</f>
        <v>340000</v>
      </c>
      <c r="J29" s="19">
        <f>SUM(E25:I29)</f>
        <v>730576</v>
      </c>
      <c r="K29" s="19">
        <f>IF(J29&gt;L$2,L$2,J29)</f>
        <v>244528.18</v>
      </c>
      <c r="L29" s="19">
        <f>IF(K29=L$2,J29-K29,0)</f>
        <v>486047.82</v>
      </c>
    </row>
    <row r="30" spans="1:12" x14ac:dyDescent="0.25">
      <c r="A30" s="15"/>
      <c r="B30" s="18"/>
      <c r="C30" s="18"/>
      <c r="D30" s="19"/>
      <c r="E30" s="20"/>
      <c r="F30" s="20"/>
      <c r="G30" s="20"/>
      <c r="H30" s="22"/>
      <c r="I30" s="22"/>
      <c r="J30" s="19"/>
      <c r="K30" s="19"/>
      <c r="L30" s="19"/>
    </row>
    <row r="31" spans="1:12" x14ac:dyDescent="0.25">
      <c r="A31" s="15" t="s">
        <v>32</v>
      </c>
      <c r="B31" s="18" t="s">
        <v>3</v>
      </c>
      <c r="C31" s="18"/>
      <c r="D31" s="19">
        <v>16300</v>
      </c>
      <c r="E31" s="20">
        <f>+D31</f>
        <v>16300</v>
      </c>
      <c r="F31" s="20"/>
      <c r="G31" s="20"/>
      <c r="H31" s="22"/>
      <c r="I31" s="22"/>
      <c r="J31" s="19"/>
      <c r="K31" s="19"/>
      <c r="L31" s="19"/>
    </row>
    <row r="32" spans="1:12" x14ac:dyDescent="0.25">
      <c r="A32" s="15" t="s">
        <v>32</v>
      </c>
      <c r="B32" s="18" t="s">
        <v>4</v>
      </c>
      <c r="C32" s="18"/>
      <c r="D32" s="19">
        <v>14000</v>
      </c>
      <c r="E32" s="20"/>
      <c r="F32" s="20">
        <f>+D32</f>
        <v>14000</v>
      </c>
      <c r="G32" s="20"/>
      <c r="H32" s="20"/>
      <c r="I32" s="20"/>
      <c r="J32" s="19"/>
      <c r="K32" s="19"/>
      <c r="L32" s="19"/>
    </row>
    <row r="33" spans="1:12" x14ac:dyDescent="0.25">
      <c r="A33" s="15" t="s">
        <v>32</v>
      </c>
      <c r="B33" s="18" t="s">
        <v>5</v>
      </c>
      <c r="C33" s="18"/>
      <c r="D33" s="19">
        <v>403612.07</v>
      </c>
      <c r="E33" s="20"/>
      <c r="F33" s="20"/>
      <c r="G33" s="20">
        <f>+D33</f>
        <v>403612.07</v>
      </c>
      <c r="H33" s="20"/>
      <c r="I33" s="20"/>
      <c r="K33" s="19"/>
      <c r="L33" s="19"/>
    </row>
    <row r="34" spans="1:12" x14ac:dyDescent="0.25">
      <c r="A34" s="15"/>
      <c r="B34" s="18"/>
      <c r="C34" s="18"/>
      <c r="D34" s="19"/>
      <c r="E34" s="20"/>
      <c r="F34" s="20"/>
      <c r="G34" s="20"/>
      <c r="H34" s="20"/>
      <c r="I34" s="20"/>
      <c r="J34" s="19">
        <f>SUM(E31:I33)</f>
        <v>433912.07</v>
      </c>
      <c r="K34" s="19">
        <f>IF(J34&gt;L$2,L$2,J34)</f>
        <v>244528.18</v>
      </c>
      <c r="L34" s="19">
        <f>IF(K34=L$2,J34-K34,0)</f>
        <v>189383.89</v>
      </c>
    </row>
    <row r="35" spans="1:12" x14ac:dyDescent="0.25">
      <c r="A35" s="15"/>
      <c r="B35" s="18"/>
      <c r="C35" s="18"/>
      <c r="D35" s="19"/>
      <c r="E35" s="20"/>
      <c r="F35" s="20"/>
      <c r="G35" s="20"/>
      <c r="H35" s="20"/>
      <c r="I35" s="20"/>
      <c r="J35" s="19"/>
      <c r="K35" s="19"/>
      <c r="L35" s="19"/>
    </row>
    <row r="36" spans="1:12" x14ac:dyDescent="0.25">
      <c r="A36" s="15" t="s">
        <v>33</v>
      </c>
      <c r="B36" s="18" t="s">
        <v>3</v>
      </c>
      <c r="C36" s="18"/>
      <c r="D36" s="19">
        <v>75605</v>
      </c>
      <c r="E36" s="20">
        <f>+D36</f>
        <v>75605</v>
      </c>
      <c r="F36" s="20"/>
      <c r="G36" s="20"/>
      <c r="H36" s="20"/>
      <c r="I36" s="20"/>
      <c r="J36" s="19"/>
      <c r="K36" s="19"/>
      <c r="L36" s="19"/>
    </row>
    <row r="37" spans="1:12" x14ac:dyDescent="0.25">
      <c r="A37" s="15" t="s">
        <v>33</v>
      </c>
      <c r="B37" s="18" t="s">
        <v>4</v>
      </c>
      <c r="C37" s="18"/>
      <c r="D37" s="19">
        <v>56675</v>
      </c>
      <c r="E37" s="20"/>
      <c r="F37" s="20">
        <f>+D37</f>
        <v>56675</v>
      </c>
      <c r="G37" s="20"/>
      <c r="H37" s="20"/>
      <c r="I37" s="20"/>
      <c r="J37" s="19"/>
      <c r="K37" s="19"/>
      <c r="L37" s="19"/>
    </row>
    <row r="38" spans="1:12" x14ac:dyDescent="0.25">
      <c r="A38" s="15" t="s">
        <v>33</v>
      </c>
      <c r="B38" s="18" t="s">
        <v>5</v>
      </c>
      <c r="C38" s="18"/>
      <c r="D38" s="19">
        <v>55000</v>
      </c>
      <c r="E38" s="20"/>
      <c r="F38" s="20"/>
      <c r="G38" s="20">
        <f>+D38</f>
        <v>55000</v>
      </c>
      <c r="H38" s="20"/>
      <c r="I38" s="20"/>
      <c r="J38" s="19"/>
      <c r="K38" s="19"/>
      <c r="L38" s="19"/>
    </row>
    <row r="39" spans="1:12" x14ac:dyDescent="0.25">
      <c r="A39" s="15" t="s">
        <v>33</v>
      </c>
      <c r="B39" s="18" t="s">
        <v>6</v>
      </c>
      <c r="C39" s="18"/>
      <c r="D39" s="19">
        <v>40000</v>
      </c>
      <c r="E39" s="20"/>
      <c r="F39" s="20"/>
      <c r="G39" s="20"/>
      <c r="H39" s="20">
        <f>+D39</f>
        <v>40000</v>
      </c>
      <c r="I39" s="20"/>
      <c r="K39" s="19"/>
      <c r="L39" s="19"/>
    </row>
    <row r="40" spans="1:12" x14ac:dyDescent="0.25">
      <c r="A40" s="15"/>
      <c r="B40" s="18"/>
      <c r="C40" s="18"/>
      <c r="D40" s="19"/>
      <c r="E40" s="20"/>
      <c r="F40" s="20"/>
      <c r="G40" s="20"/>
      <c r="H40" s="20"/>
      <c r="I40" s="20"/>
      <c r="J40" s="19">
        <f>SUM(E36:I40)</f>
        <v>227280</v>
      </c>
      <c r="K40" s="19">
        <f>IF(J40&gt;L$2,L$2,J40)</f>
        <v>227280</v>
      </c>
      <c r="L40" s="19">
        <f>IF(K40=L$2,J40-K40,0)</f>
        <v>0</v>
      </c>
    </row>
    <row r="41" spans="1:12" x14ac:dyDescent="0.25">
      <c r="A41" s="16"/>
      <c r="B41" s="25"/>
      <c r="C41" s="25"/>
      <c r="D41" s="26"/>
      <c r="E41" s="20"/>
      <c r="F41" s="20"/>
      <c r="G41" s="20"/>
      <c r="H41" s="20"/>
      <c r="I41" s="20"/>
      <c r="J41" s="19"/>
      <c r="K41" s="19"/>
      <c r="L41" s="19"/>
    </row>
    <row r="42" spans="1:12" x14ac:dyDescent="0.25">
      <c r="A42" s="15" t="s">
        <v>34</v>
      </c>
      <c r="B42" s="18" t="s">
        <v>3</v>
      </c>
      <c r="C42" s="18"/>
      <c r="D42" s="19">
        <v>15300</v>
      </c>
      <c r="E42" s="19">
        <f>+D42</f>
        <v>15300</v>
      </c>
      <c r="F42" s="19"/>
      <c r="G42" s="19"/>
      <c r="H42" s="19"/>
      <c r="I42" s="19"/>
      <c r="J42" s="19"/>
      <c r="K42" s="19"/>
      <c r="L42" s="19"/>
    </row>
    <row r="43" spans="1:12" x14ac:dyDescent="0.25">
      <c r="A43" s="15" t="s">
        <v>34</v>
      </c>
      <c r="B43" s="18" t="s">
        <v>4</v>
      </c>
      <c r="C43" s="18"/>
      <c r="D43" s="19">
        <v>65100</v>
      </c>
      <c r="E43" s="19"/>
      <c r="F43" s="19">
        <f>+D43</f>
        <v>65100</v>
      </c>
      <c r="G43" s="19"/>
      <c r="H43" s="19"/>
      <c r="I43" s="19"/>
      <c r="J43" s="19"/>
      <c r="K43" s="19"/>
      <c r="L43" s="19"/>
    </row>
    <row r="44" spans="1:12" x14ac:dyDescent="0.25">
      <c r="A44" s="15" t="s">
        <v>34</v>
      </c>
      <c r="B44" s="18" t="s">
        <v>5</v>
      </c>
      <c r="C44" s="18"/>
      <c r="D44" s="19">
        <v>11925</v>
      </c>
      <c r="E44" s="19"/>
      <c r="F44" s="19"/>
      <c r="G44" s="19">
        <f>+D44</f>
        <v>11925</v>
      </c>
      <c r="H44" s="19"/>
      <c r="I44" s="19"/>
      <c r="J44" s="19"/>
      <c r="K44" s="19"/>
      <c r="L44" s="19"/>
    </row>
    <row r="45" spans="1:12" x14ac:dyDescent="0.25">
      <c r="A45" s="15" t="s">
        <v>34</v>
      </c>
      <c r="B45" s="18" t="s">
        <v>6</v>
      </c>
      <c r="C45" s="18"/>
      <c r="D45" s="19">
        <v>24000</v>
      </c>
      <c r="E45" s="19"/>
      <c r="F45" s="19"/>
      <c r="G45" s="19"/>
      <c r="H45" s="19">
        <f>+D45</f>
        <v>24000</v>
      </c>
      <c r="I45" s="19"/>
    </row>
    <row r="46" spans="1:12" x14ac:dyDescent="0.25">
      <c r="A46" s="15" t="s">
        <v>34</v>
      </c>
      <c r="B46" s="18" t="s">
        <v>7</v>
      </c>
      <c r="C46" s="18"/>
      <c r="D46" s="19"/>
      <c r="E46" s="19"/>
      <c r="F46" s="19"/>
      <c r="G46" s="19"/>
      <c r="H46" s="19"/>
      <c r="I46" s="19">
        <f>+D46</f>
        <v>0</v>
      </c>
      <c r="J46" s="19">
        <f>SUM(E42:I46)</f>
        <v>116325</v>
      </c>
      <c r="K46" s="19">
        <f>IF(J46&gt;L$2,L$2,J46)</f>
        <v>116325</v>
      </c>
      <c r="L46" s="19">
        <f>IF(K46=L$2,J46-K46,0)</f>
        <v>0</v>
      </c>
    </row>
    <row r="47" spans="1:12" x14ac:dyDescent="0.25">
      <c r="A47" s="15"/>
      <c r="B47" s="18"/>
      <c r="C47" s="18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5"/>
      <c r="B48" s="18"/>
      <c r="C48" s="18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5" t="s">
        <v>35</v>
      </c>
      <c r="B49" s="18" t="s">
        <v>6</v>
      </c>
      <c r="C49" s="18"/>
      <c r="D49" s="19">
        <v>22500</v>
      </c>
      <c r="E49" s="19"/>
      <c r="F49" s="19"/>
      <c r="G49" s="19"/>
      <c r="H49" s="19">
        <f>+D49</f>
        <v>22500</v>
      </c>
      <c r="I49" s="19"/>
      <c r="J49" s="19"/>
      <c r="K49" s="19"/>
      <c r="L49" s="19"/>
    </row>
    <row r="50" spans="1:12" x14ac:dyDescent="0.25">
      <c r="A50" s="15" t="s">
        <v>35</v>
      </c>
      <c r="B50" s="18" t="s">
        <v>7</v>
      </c>
      <c r="C50" s="18"/>
      <c r="D50" s="19">
        <v>175000</v>
      </c>
      <c r="E50" s="19"/>
      <c r="F50" s="19"/>
      <c r="G50" s="19"/>
      <c r="H50" s="19"/>
      <c r="I50" s="19">
        <f>+D50</f>
        <v>175000</v>
      </c>
      <c r="J50" s="19">
        <f>SUM(E49:I50)</f>
        <v>197500</v>
      </c>
      <c r="K50" s="19">
        <f>IF(J50&gt;L$2,L$2,J50)</f>
        <v>197500</v>
      </c>
      <c r="L50" s="19">
        <f>IF(K50=L$2,J50-K50,0)</f>
        <v>0</v>
      </c>
    </row>
    <row r="51" spans="1:12" x14ac:dyDescent="0.25">
      <c r="A51" s="16"/>
      <c r="B51" s="18"/>
      <c r="C51" s="18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25">
      <c r="A52" s="16"/>
      <c r="B52" s="18"/>
      <c r="C52" s="18"/>
      <c r="D52" s="19">
        <f>SUM(D4:D51)</f>
        <v>6831158.4400000004</v>
      </c>
      <c r="E52" s="19">
        <f t="shared" ref="E52:J52" si="0">SUM(E4:E51)</f>
        <v>594300.77</v>
      </c>
      <c r="F52" s="19">
        <f t="shared" si="0"/>
        <v>1416296</v>
      </c>
      <c r="G52" s="19">
        <f t="shared" si="0"/>
        <v>1772704.07</v>
      </c>
      <c r="H52" s="19">
        <f t="shared" si="0"/>
        <v>1718883.85</v>
      </c>
      <c r="I52" s="19">
        <f t="shared" si="0"/>
        <v>1328973.75</v>
      </c>
      <c r="J52" s="19">
        <f t="shared" si="0"/>
        <v>6831158.4400000004</v>
      </c>
      <c r="K52" s="19">
        <f>SUM(K4:K51)</f>
        <v>2008274.0799999998</v>
      </c>
      <c r="L52" s="19">
        <f t="shared" ref="L52" si="1">SUM(L4:L51)</f>
        <v>4822884.3599999994</v>
      </c>
    </row>
    <row r="54" spans="1:12" x14ac:dyDescent="0.25">
      <c r="L54" s="37" t="s">
        <v>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selection activeCell="D8" sqref="D8"/>
    </sheetView>
  </sheetViews>
  <sheetFormatPr defaultRowHeight="15" x14ac:dyDescent="0.25"/>
  <cols>
    <col min="1" max="1" width="27.28515625" bestFit="1" customWidth="1"/>
    <col min="2" max="2" width="14.28515625" bestFit="1" customWidth="1"/>
    <col min="4" max="5" width="13.5703125" bestFit="1" customWidth="1"/>
    <col min="6" max="6" width="12.5703125" bestFit="1" customWidth="1"/>
    <col min="7" max="7" width="11.85546875" bestFit="1" customWidth="1"/>
    <col min="8" max="8" width="13.5703125" bestFit="1" customWidth="1"/>
    <col min="9" max="9" width="11.85546875" customWidth="1"/>
    <col min="10" max="10" width="20.140625" bestFit="1" customWidth="1"/>
    <col min="11" max="12" width="13.5703125" bestFit="1" customWidth="1"/>
    <col min="14" max="14" width="44.7109375" bestFit="1" customWidth="1"/>
  </cols>
  <sheetData>
    <row r="1" spans="1:14" x14ac:dyDescent="0.25">
      <c r="A1" s="13" t="s">
        <v>110</v>
      </c>
      <c r="B1" s="12"/>
      <c r="C1" s="12"/>
      <c r="D1" s="13"/>
    </row>
    <row r="2" spans="1:14" x14ac:dyDescent="0.25">
      <c r="A2" s="15" t="s">
        <v>18</v>
      </c>
      <c r="B2" s="15" t="s">
        <v>19</v>
      </c>
      <c r="C2" s="15"/>
      <c r="D2" s="15" t="s">
        <v>20</v>
      </c>
      <c r="E2" s="16" t="s">
        <v>68</v>
      </c>
      <c r="F2" s="16" t="s">
        <v>79</v>
      </c>
      <c r="G2" s="16" t="s">
        <v>88</v>
      </c>
      <c r="H2" s="16" t="s">
        <v>97</v>
      </c>
      <c r="I2" s="16" t="s">
        <v>110</v>
      </c>
      <c r="J2" s="15" t="s">
        <v>25</v>
      </c>
      <c r="K2" s="12" t="s">
        <v>26</v>
      </c>
      <c r="L2" s="58">
        <f>+'FY23 sched A'!G18</f>
        <v>310873.29275463126</v>
      </c>
    </row>
    <row r="3" spans="1:14" x14ac:dyDescent="0.25">
      <c r="A3" s="15"/>
      <c r="B3" s="18"/>
      <c r="C3" s="18"/>
      <c r="D3" s="19"/>
    </row>
    <row r="4" spans="1:14" x14ac:dyDescent="0.25">
      <c r="A4" s="15"/>
      <c r="B4" s="18"/>
      <c r="C4" s="18"/>
      <c r="D4" s="19"/>
    </row>
    <row r="5" spans="1:14" x14ac:dyDescent="0.25">
      <c r="A5" s="15" t="s">
        <v>72</v>
      </c>
      <c r="B5" s="18" t="s">
        <v>68</v>
      </c>
      <c r="D5" s="26">
        <f>+'FY22 excess gifts'!D6</f>
        <v>684683</v>
      </c>
      <c r="E5" s="45">
        <f>+D5</f>
        <v>684683</v>
      </c>
      <c r="F5" s="58"/>
      <c r="G5" s="58"/>
      <c r="H5" s="58"/>
      <c r="I5" s="58"/>
      <c r="J5" s="45"/>
      <c r="K5" s="19"/>
      <c r="L5" s="19"/>
    </row>
    <row r="6" spans="1:14" x14ac:dyDescent="0.25">
      <c r="A6" s="15" t="s">
        <v>72</v>
      </c>
      <c r="B6" s="18" t="s">
        <v>79</v>
      </c>
      <c r="C6" s="18"/>
      <c r="D6" s="26">
        <f>+'FY22 excess gifts'!D7</f>
        <v>616683</v>
      </c>
      <c r="F6" s="58">
        <f>+D6</f>
        <v>616683</v>
      </c>
      <c r="G6" s="58"/>
      <c r="H6" s="58"/>
      <c r="I6" s="58"/>
      <c r="J6" s="45"/>
      <c r="K6" s="19"/>
      <c r="L6" s="19"/>
      <c r="N6" s="79" t="s">
        <v>83</v>
      </c>
    </row>
    <row r="7" spans="1:14" x14ac:dyDescent="0.25">
      <c r="A7" s="15" t="s">
        <v>72</v>
      </c>
      <c r="B7" s="18" t="s">
        <v>88</v>
      </c>
      <c r="C7" s="18"/>
      <c r="D7" s="26">
        <f>+'FY22 excess gifts'!D8</f>
        <v>647517.15</v>
      </c>
      <c r="F7" s="58"/>
      <c r="G7" s="58">
        <f>+D7</f>
        <v>647517.15</v>
      </c>
      <c r="H7" s="58"/>
      <c r="I7" s="58"/>
      <c r="J7" s="45"/>
      <c r="K7" s="19"/>
      <c r="L7" s="19"/>
      <c r="N7" s="37" t="s">
        <v>92</v>
      </c>
    </row>
    <row r="8" spans="1:14" x14ac:dyDescent="0.25">
      <c r="A8" s="15" t="s">
        <v>72</v>
      </c>
      <c r="B8" s="18" t="s">
        <v>97</v>
      </c>
      <c r="C8" s="18"/>
      <c r="D8" s="26">
        <f>+'FY22 excess gifts'!D9</f>
        <v>679893.00750000007</v>
      </c>
      <c r="F8" s="58"/>
      <c r="G8" s="58"/>
      <c r="H8" s="45">
        <f>+D8</f>
        <v>679893.00750000007</v>
      </c>
      <c r="I8" s="45"/>
      <c r="N8" s="37" t="s">
        <v>92</v>
      </c>
    </row>
    <row r="9" spans="1:14" x14ac:dyDescent="0.25">
      <c r="A9" s="15" t="s">
        <v>72</v>
      </c>
      <c r="B9" s="18" t="s">
        <v>110</v>
      </c>
      <c r="C9" s="18"/>
      <c r="D9" s="26">
        <f>+D8*1.05</f>
        <v>713887.65787500015</v>
      </c>
      <c r="F9" s="58"/>
      <c r="G9" s="58"/>
      <c r="H9" s="45"/>
      <c r="I9" s="45">
        <f>+D9</f>
        <v>713887.65787500015</v>
      </c>
      <c r="J9" s="45">
        <f>SUM(E5:I9)</f>
        <v>3342663.8153749998</v>
      </c>
      <c r="K9" s="19">
        <f>IF(J9&gt;L$2,L$2,J9)</f>
        <v>310873.29275463126</v>
      </c>
      <c r="L9" s="19">
        <f>IF(K9=L$2,J9-K9,0)</f>
        <v>3031790.5226203687</v>
      </c>
      <c r="N9" s="37" t="s">
        <v>92</v>
      </c>
    </row>
    <row r="10" spans="1:14" x14ac:dyDescent="0.25">
      <c r="A10" s="15"/>
      <c r="B10" s="18"/>
      <c r="C10" s="18"/>
      <c r="D10" s="19"/>
      <c r="J10" s="45"/>
      <c r="K10" s="19"/>
      <c r="L10" s="19"/>
    </row>
    <row r="11" spans="1:14" x14ac:dyDescent="0.25">
      <c r="A11" s="15" t="s">
        <v>29</v>
      </c>
      <c r="B11" s="18" t="s">
        <v>68</v>
      </c>
      <c r="C11" s="18"/>
      <c r="D11" s="26">
        <f>+'FY22 excess gifts'!D12</f>
        <v>114000</v>
      </c>
      <c r="E11" s="45">
        <f>+D11</f>
        <v>114000</v>
      </c>
      <c r="F11" s="45"/>
      <c r="G11" s="45"/>
      <c r="H11" s="45"/>
      <c r="I11" s="45"/>
      <c r="J11" s="45"/>
    </row>
    <row r="12" spans="1:14" x14ac:dyDescent="0.25">
      <c r="A12" s="15" t="s">
        <v>29</v>
      </c>
      <c r="B12" s="18" t="s">
        <v>79</v>
      </c>
      <c r="C12" s="18"/>
      <c r="D12" s="26">
        <f>+'FY22 excess gifts'!D13</f>
        <v>125000</v>
      </c>
      <c r="F12" s="45">
        <f>+D12</f>
        <v>125000</v>
      </c>
      <c r="G12" s="45"/>
      <c r="H12" s="45"/>
      <c r="I12" s="45"/>
      <c r="J12" s="45"/>
      <c r="K12" s="19"/>
      <c r="L12" s="19"/>
    </row>
    <row r="13" spans="1:14" x14ac:dyDescent="0.25">
      <c r="A13" s="15" t="s">
        <v>29</v>
      </c>
      <c r="B13" s="18" t="s">
        <v>88</v>
      </c>
      <c r="C13" s="18"/>
      <c r="D13" s="26">
        <f>+'FY22 excess gifts'!D14</f>
        <v>125000</v>
      </c>
      <c r="F13" s="45"/>
      <c r="G13" s="45">
        <f>+D13</f>
        <v>125000</v>
      </c>
      <c r="H13" s="45"/>
      <c r="I13" s="45"/>
      <c r="J13" s="45"/>
      <c r="K13" s="19"/>
      <c r="L13" s="19"/>
    </row>
    <row r="14" spans="1:14" x14ac:dyDescent="0.25">
      <c r="A14" s="15" t="s">
        <v>29</v>
      </c>
      <c r="B14" s="18" t="s">
        <v>97</v>
      </c>
      <c r="C14" s="18"/>
      <c r="D14" s="26">
        <f>+'FY22 excess gifts'!D15</f>
        <v>125000</v>
      </c>
      <c r="F14" s="45"/>
      <c r="G14" s="45"/>
      <c r="H14" s="45">
        <f>+D14</f>
        <v>125000</v>
      </c>
      <c r="I14" s="45"/>
      <c r="J14" s="45"/>
      <c r="K14" s="19"/>
      <c r="L14" s="19"/>
    </row>
    <row r="15" spans="1:14" x14ac:dyDescent="0.25">
      <c r="A15" s="15" t="s">
        <v>29</v>
      </c>
      <c r="B15" s="18" t="s">
        <v>110</v>
      </c>
      <c r="D15" s="26">
        <v>75000</v>
      </c>
      <c r="I15" s="45">
        <f>+D15</f>
        <v>75000</v>
      </c>
      <c r="J15" s="45"/>
      <c r="K15" s="19"/>
      <c r="L15" s="19"/>
    </row>
    <row r="16" spans="1:14" x14ac:dyDescent="0.25">
      <c r="A16" s="15"/>
      <c r="B16" s="18"/>
      <c r="C16" s="18"/>
      <c r="D16" s="19"/>
      <c r="J16" s="45">
        <f>SUM(E11:I15)</f>
        <v>564000</v>
      </c>
      <c r="K16" s="19">
        <f>IF(J16&gt;L$2,L$2,J16)</f>
        <v>310873.29275463126</v>
      </c>
      <c r="L16" s="19">
        <f>IF(K16=L$2,J16-K16,0)</f>
        <v>253126.70724536874</v>
      </c>
    </row>
    <row r="17" spans="1:12" x14ac:dyDescent="0.25">
      <c r="A17" s="15" t="s">
        <v>30</v>
      </c>
      <c r="B17" s="18" t="s">
        <v>68</v>
      </c>
      <c r="D17" s="26">
        <f>+'FY22 excess gifts'!D18</f>
        <v>0</v>
      </c>
      <c r="E17" s="45">
        <f>+D17</f>
        <v>0</v>
      </c>
      <c r="F17" s="45"/>
      <c r="G17" s="45"/>
      <c r="H17" s="45"/>
      <c r="I17" s="45"/>
    </row>
    <row r="18" spans="1:12" x14ac:dyDescent="0.25">
      <c r="A18" s="15" t="s">
        <v>30</v>
      </c>
      <c r="B18" s="18" t="s">
        <v>79</v>
      </c>
      <c r="D18" s="26">
        <f>+'FY22 excess gifts'!D19</f>
        <v>25000</v>
      </c>
      <c r="E18" s="45"/>
      <c r="F18" s="45">
        <f>+D18</f>
        <v>25000</v>
      </c>
      <c r="G18" s="45"/>
      <c r="H18" s="45"/>
      <c r="I18" s="45"/>
      <c r="J18" s="45"/>
      <c r="K18" s="19"/>
      <c r="L18" s="19"/>
    </row>
    <row r="19" spans="1:12" x14ac:dyDescent="0.25">
      <c r="A19" s="15" t="s">
        <v>30</v>
      </c>
      <c r="B19" s="18" t="s">
        <v>88</v>
      </c>
      <c r="D19" s="26">
        <f>+'FY22 excess gifts'!D20</f>
        <v>0</v>
      </c>
      <c r="E19" s="45"/>
      <c r="F19" s="45"/>
      <c r="G19" s="45">
        <f>+D19</f>
        <v>0</v>
      </c>
      <c r="H19" s="45"/>
      <c r="I19" s="45"/>
      <c r="J19" s="45"/>
      <c r="K19" s="19"/>
      <c r="L19" s="19"/>
    </row>
    <row r="20" spans="1:12" x14ac:dyDescent="0.25">
      <c r="A20" s="15" t="s">
        <v>30</v>
      </c>
      <c r="B20" s="18" t="s">
        <v>97</v>
      </c>
      <c r="D20" s="26">
        <f>+'FY22 excess gifts'!D21</f>
        <v>25000</v>
      </c>
      <c r="E20" s="45"/>
      <c r="F20" s="45"/>
      <c r="G20" s="45"/>
      <c r="H20" s="45">
        <f>+D20</f>
        <v>25000</v>
      </c>
      <c r="I20" s="45"/>
      <c r="J20" s="45"/>
      <c r="K20" s="19"/>
      <c r="L20" s="19"/>
    </row>
    <row r="21" spans="1:12" x14ac:dyDescent="0.25">
      <c r="A21" s="15" t="s">
        <v>30</v>
      </c>
      <c r="B21" s="18" t="s">
        <v>110</v>
      </c>
      <c r="D21" s="26">
        <v>0</v>
      </c>
      <c r="I21" s="45">
        <f>+D21</f>
        <v>0</v>
      </c>
      <c r="J21" s="45"/>
      <c r="K21" s="19"/>
      <c r="L21" s="19"/>
    </row>
    <row r="22" spans="1:12" x14ac:dyDescent="0.25">
      <c r="A22" s="15"/>
      <c r="B22" s="18"/>
      <c r="C22" s="18"/>
      <c r="D22" s="19"/>
      <c r="J22" s="45">
        <f>SUM(E17:I21)</f>
        <v>50000</v>
      </c>
      <c r="K22" s="19">
        <f>IF(J22&gt;L$2,L$2,J22)</f>
        <v>50000</v>
      </c>
      <c r="L22" s="19">
        <f>IF(K22=L$2,J22-K22,0)</f>
        <v>0</v>
      </c>
    </row>
    <row r="23" spans="1:12" x14ac:dyDescent="0.25">
      <c r="A23" s="15" t="s">
        <v>31</v>
      </c>
      <c r="B23" s="18" t="s">
        <v>68</v>
      </c>
      <c r="D23" s="26">
        <f>+'FY22 excess gifts'!D24</f>
        <v>25000</v>
      </c>
      <c r="E23" s="45">
        <f>+D23</f>
        <v>25000</v>
      </c>
      <c r="F23" s="45"/>
      <c r="G23" s="45"/>
      <c r="H23" s="45"/>
      <c r="I23" s="45"/>
    </row>
    <row r="24" spans="1:12" x14ac:dyDescent="0.25">
      <c r="A24" s="15" t="s">
        <v>31</v>
      </c>
      <c r="B24" s="18" t="s">
        <v>79</v>
      </c>
      <c r="D24" s="26">
        <f>+'FY22 excess gifts'!D25</f>
        <v>25000</v>
      </c>
      <c r="E24" s="45"/>
      <c r="F24" s="45">
        <f>+D24</f>
        <v>25000</v>
      </c>
      <c r="G24" s="45"/>
      <c r="H24" s="45"/>
      <c r="I24" s="45"/>
      <c r="J24" s="45"/>
      <c r="K24" s="19"/>
      <c r="L24" s="19"/>
    </row>
    <row r="25" spans="1:12" x14ac:dyDescent="0.25">
      <c r="A25" s="15" t="s">
        <v>31</v>
      </c>
      <c r="B25" s="18" t="s">
        <v>88</v>
      </c>
      <c r="D25" s="26">
        <f>+'FY22 excess gifts'!D26</f>
        <v>25000</v>
      </c>
      <c r="E25" s="45"/>
      <c r="F25" s="45"/>
      <c r="G25" s="45">
        <f>+D25</f>
        <v>25000</v>
      </c>
      <c r="H25" s="45"/>
      <c r="I25" s="45"/>
      <c r="J25" s="45"/>
      <c r="K25" s="19"/>
      <c r="L25" s="19"/>
    </row>
    <row r="26" spans="1:12" x14ac:dyDescent="0.25">
      <c r="A26" s="15" t="s">
        <v>31</v>
      </c>
      <c r="B26" s="18" t="s">
        <v>97</v>
      </c>
      <c r="D26" s="26">
        <f>+'FY22 excess gifts'!D27</f>
        <v>25000</v>
      </c>
      <c r="E26" s="45"/>
      <c r="F26" s="45"/>
      <c r="G26" s="45"/>
      <c r="H26" s="45">
        <f>+D26</f>
        <v>25000</v>
      </c>
      <c r="I26" s="45"/>
      <c r="J26" s="45"/>
      <c r="K26" s="19"/>
      <c r="L26" s="19"/>
    </row>
    <row r="27" spans="1:12" x14ac:dyDescent="0.25">
      <c r="A27" s="15" t="s">
        <v>31</v>
      </c>
      <c r="B27" s="18" t="s">
        <v>110</v>
      </c>
      <c r="D27" s="26">
        <v>25000</v>
      </c>
      <c r="I27" s="45">
        <f>+D27</f>
        <v>25000</v>
      </c>
      <c r="J27" s="45"/>
      <c r="K27" s="19"/>
      <c r="L27" s="19"/>
    </row>
    <row r="28" spans="1:12" x14ac:dyDescent="0.25">
      <c r="A28" s="15"/>
      <c r="B28" s="18"/>
      <c r="C28" s="18"/>
      <c r="D28" s="19"/>
      <c r="J28" s="45">
        <f>SUM(E23:I27)</f>
        <v>125000</v>
      </c>
      <c r="K28" s="19">
        <f>IF(J28&gt;L$2,L$2,J28)</f>
        <v>125000</v>
      </c>
      <c r="L28" s="19">
        <f>IF(K28=L$2,J28-K28,0)</f>
        <v>0</v>
      </c>
    </row>
    <row r="29" spans="1:12" x14ac:dyDescent="0.25">
      <c r="A29" s="15" t="s">
        <v>34</v>
      </c>
      <c r="B29" s="18" t="s">
        <v>68</v>
      </c>
      <c r="C29" s="18"/>
      <c r="D29" s="26">
        <f>+'FY22 excess gifts'!D30</f>
        <v>100000</v>
      </c>
      <c r="E29" s="45">
        <f>+D29</f>
        <v>100000</v>
      </c>
      <c r="F29" s="45"/>
      <c r="G29" s="45"/>
      <c r="H29" s="45"/>
      <c r="I29" s="45"/>
    </row>
    <row r="30" spans="1:12" x14ac:dyDescent="0.25">
      <c r="A30" s="15" t="s">
        <v>34</v>
      </c>
      <c r="B30" s="18" t="s">
        <v>79</v>
      </c>
      <c r="C30" s="18"/>
      <c r="D30" s="26">
        <f>+'FY22 excess gifts'!D31</f>
        <v>100000</v>
      </c>
      <c r="E30" s="45"/>
      <c r="F30" s="45">
        <f>+D30</f>
        <v>100000</v>
      </c>
      <c r="G30" s="45"/>
      <c r="H30" s="45"/>
      <c r="I30" s="45"/>
      <c r="J30" s="45"/>
      <c r="K30" s="19"/>
      <c r="L30" s="19"/>
    </row>
    <row r="31" spans="1:12" x14ac:dyDescent="0.25">
      <c r="A31" s="15" t="s">
        <v>34</v>
      </c>
      <c r="B31" s="18" t="s">
        <v>88</v>
      </c>
      <c r="C31" s="18"/>
      <c r="D31" s="26">
        <f>+'FY22 excess gifts'!D32</f>
        <v>100000</v>
      </c>
      <c r="E31" s="45"/>
      <c r="F31" s="45"/>
      <c r="G31" s="45">
        <f>+D31</f>
        <v>100000</v>
      </c>
      <c r="H31" s="45"/>
      <c r="I31" s="45"/>
      <c r="J31" s="45"/>
      <c r="K31" s="19"/>
      <c r="L31" s="19"/>
    </row>
    <row r="32" spans="1:12" x14ac:dyDescent="0.25">
      <c r="A32" s="15" t="s">
        <v>34</v>
      </c>
      <c r="B32" s="18" t="s">
        <v>97</v>
      </c>
      <c r="C32" s="18"/>
      <c r="D32" s="26">
        <f>+'FY22 excess gifts'!D33</f>
        <v>100000</v>
      </c>
      <c r="E32" s="45"/>
      <c r="F32" s="45"/>
      <c r="G32" s="45"/>
      <c r="H32" s="45">
        <f>+D32</f>
        <v>100000</v>
      </c>
      <c r="I32" s="45"/>
      <c r="J32" s="45"/>
      <c r="K32" s="19"/>
      <c r="L32" s="19"/>
    </row>
    <row r="33" spans="1:14" x14ac:dyDescent="0.25">
      <c r="A33" s="15" t="s">
        <v>34</v>
      </c>
      <c r="B33" s="18" t="s">
        <v>110</v>
      </c>
      <c r="C33" s="18"/>
      <c r="D33" s="26">
        <v>100000</v>
      </c>
      <c r="I33" s="45">
        <f>+D33</f>
        <v>100000</v>
      </c>
      <c r="J33" s="45"/>
      <c r="K33" s="19"/>
      <c r="L33" s="19"/>
    </row>
    <row r="34" spans="1:14" x14ac:dyDescent="0.25">
      <c r="A34" s="15"/>
      <c r="B34" s="18"/>
      <c r="C34" s="18"/>
      <c r="D34" s="19"/>
      <c r="J34" s="45">
        <f>SUM(E29:I33)</f>
        <v>500000</v>
      </c>
      <c r="K34" s="19">
        <f>IF(J34&gt;L$2,L$2,J34)</f>
        <v>310873.29275463126</v>
      </c>
      <c r="L34" s="19">
        <f>IF(K34=L$2,J34-K34,0)</f>
        <v>189126.70724536874</v>
      </c>
    </row>
    <row r="35" spans="1:14" x14ac:dyDescent="0.25">
      <c r="A35" s="15" t="s">
        <v>43</v>
      </c>
      <c r="B35" s="18" t="s">
        <v>68</v>
      </c>
      <c r="C35" s="18"/>
      <c r="D35" s="26">
        <f>+'FY22 excess gifts'!D41</f>
        <v>420000</v>
      </c>
      <c r="E35" s="45">
        <f>+D35</f>
        <v>420000</v>
      </c>
    </row>
    <row r="36" spans="1:14" x14ac:dyDescent="0.25">
      <c r="A36" s="15" t="s">
        <v>43</v>
      </c>
      <c r="B36" s="18" t="s">
        <v>97</v>
      </c>
      <c r="C36" s="18"/>
      <c r="D36" s="26">
        <v>450000</v>
      </c>
      <c r="E36" s="45"/>
      <c r="H36" s="45">
        <f>+D36</f>
        <v>450000</v>
      </c>
      <c r="N36" s="37" t="s">
        <v>101</v>
      </c>
    </row>
    <row r="37" spans="1:14" x14ac:dyDescent="0.25">
      <c r="A37" s="15"/>
      <c r="B37" s="18"/>
      <c r="C37" s="18"/>
      <c r="D37" s="19"/>
      <c r="J37" s="45">
        <f>SUM(E35:I37)</f>
        <v>870000</v>
      </c>
      <c r="K37" s="19">
        <f>IF(J37&gt;L$2,L$2,J37)</f>
        <v>310873.29275463126</v>
      </c>
      <c r="L37" s="19">
        <f>IF(K37=L$2,J37-K37,0)</f>
        <v>559126.70724536874</v>
      </c>
    </row>
    <row r="38" spans="1:14" x14ac:dyDescent="0.25">
      <c r="A38" s="15"/>
      <c r="B38" s="18"/>
      <c r="C38" s="18"/>
      <c r="D38" s="19"/>
    </row>
    <row r="39" spans="1:14" x14ac:dyDescent="0.25">
      <c r="A39" s="16"/>
      <c r="B39" s="18"/>
      <c r="C39" s="18"/>
      <c r="D39" s="27"/>
      <c r="E39" s="62"/>
      <c r="F39" s="62"/>
      <c r="G39" s="62"/>
      <c r="H39" s="62"/>
      <c r="I39" s="62"/>
      <c r="J39" s="62"/>
      <c r="K39" s="62"/>
      <c r="L39" s="62"/>
    </row>
    <row r="40" spans="1:14" x14ac:dyDescent="0.25">
      <c r="A40" s="16"/>
      <c r="B40" s="18"/>
      <c r="C40" s="18"/>
      <c r="D40" s="19">
        <f>SUM(D5:D39)</f>
        <v>5451663.8153750002</v>
      </c>
      <c r="E40" s="45">
        <f>SUM(E5:E39)</f>
        <v>1343683</v>
      </c>
      <c r="F40" s="45">
        <f t="shared" ref="F40:I40" si="0">SUM(F5:F39)</f>
        <v>891683</v>
      </c>
      <c r="G40" s="45">
        <f t="shared" si="0"/>
        <v>897517.15</v>
      </c>
      <c r="H40" s="45">
        <f t="shared" si="0"/>
        <v>1404893.0075000001</v>
      </c>
      <c r="I40" s="45">
        <f t="shared" si="0"/>
        <v>913887.65787500015</v>
      </c>
      <c r="J40" s="19">
        <f>SUM(J5:J39)</f>
        <v>5451663.8153750002</v>
      </c>
      <c r="K40" s="19">
        <f>SUM(K5:K39)</f>
        <v>1418493.171018525</v>
      </c>
      <c r="L40" s="19">
        <f>SUM(L5:L39)</f>
        <v>4033170.6443564743</v>
      </c>
    </row>
    <row r="41" spans="1:14" x14ac:dyDescent="0.25">
      <c r="E41" s="45">
        <f>+E40-'FY22 excess gifts'!F45</f>
        <v>0</v>
      </c>
      <c r="F41" s="45">
        <f>+F40-'FY22 excess gifts'!G45</f>
        <v>0</v>
      </c>
      <c r="G41" s="45">
        <f>+G40-'FY22 excess gifts'!H45</f>
        <v>0</v>
      </c>
      <c r="H41" s="45">
        <f>+H40-'FY22 excess gifts'!I45</f>
        <v>0</v>
      </c>
    </row>
    <row r="43" spans="1:14" x14ac:dyDescent="0.25">
      <c r="A43" t="s">
        <v>44</v>
      </c>
    </row>
    <row r="44" spans="1:14" x14ac:dyDescent="0.25">
      <c r="A44" t="s">
        <v>111</v>
      </c>
      <c r="B44" s="45">
        <f>+'FY22 excess gifts'!J45</f>
        <v>5635074.1574999997</v>
      </c>
    </row>
    <row r="45" spans="1:14" x14ac:dyDescent="0.25">
      <c r="A45" t="s">
        <v>112</v>
      </c>
      <c r="B45" s="45">
        <f>-'FY22 excess gifts'!E45</f>
        <v>-1097298</v>
      </c>
    </row>
    <row r="46" spans="1:14" x14ac:dyDescent="0.25">
      <c r="A46" t="s">
        <v>113</v>
      </c>
      <c r="B46" s="77">
        <f>+I40</f>
        <v>913887.65787500015</v>
      </c>
    </row>
    <row r="47" spans="1:14" x14ac:dyDescent="0.25">
      <c r="B47" s="45">
        <f>SUM(B44:B46)</f>
        <v>5451663.8153750002</v>
      </c>
    </row>
    <row r="48" spans="1:14" x14ac:dyDescent="0.25">
      <c r="B48" s="45">
        <f>+B47-J40</f>
        <v>0</v>
      </c>
    </row>
    <row r="49" spans="2:2" x14ac:dyDescent="0.25">
      <c r="B49" s="45"/>
    </row>
    <row r="50" spans="2:2" x14ac:dyDescent="0.25">
      <c r="B50" s="45"/>
    </row>
    <row r="51" spans="2:2" x14ac:dyDescent="0.25">
      <c r="B51" s="45"/>
    </row>
    <row r="52" spans="2:2" x14ac:dyDescent="0.25">
      <c r="B52" s="45"/>
    </row>
    <row r="53" spans="2:2" x14ac:dyDescent="0.25">
      <c r="B53" s="45"/>
    </row>
  </sheetData>
  <pageMargins left="0.7" right="0.7" top="0.75" bottom="0.75" header="0.3" footer="0.3"/>
  <pageSetup paperSize="5" scale="8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>
      <selection activeCell="I21" sqref="I21"/>
    </sheetView>
  </sheetViews>
  <sheetFormatPr defaultRowHeight="15" x14ac:dyDescent="0.25"/>
  <cols>
    <col min="2" max="2" width="17.7109375" bestFit="1" customWidth="1"/>
    <col min="3" max="4" width="11.85546875" bestFit="1" customWidth="1"/>
    <col min="5" max="5" width="27.28515625" bestFit="1" customWidth="1"/>
    <col min="6" max="6" width="11.85546875" bestFit="1" customWidth="1"/>
  </cols>
  <sheetData>
    <row r="2" spans="2:7" x14ac:dyDescent="0.25">
      <c r="B2" s="45"/>
      <c r="C2" s="45"/>
      <c r="E2" s="45"/>
    </row>
    <row r="3" spans="2:7" x14ac:dyDescent="0.25">
      <c r="B3" s="45"/>
      <c r="C3" s="45"/>
      <c r="D3" s="45"/>
      <c r="E3" s="45"/>
      <c r="F3" s="45"/>
      <c r="G3" s="48"/>
    </row>
    <row r="4" spans="2:7" x14ac:dyDescent="0.25">
      <c r="B4" s="45"/>
      <c r="C4" s="45"/>
      <c r="E4" s="45"/>
      <c r="F4" s="45"/>
      <c r="G4" s="48"/>
    </row>
    <row r="5" spans="2:7" x14ac:dyDescent="0.25">
      <c r="B5" s="45"/>
      <c r="C5" s="45"/>
      <c r="E5" s="45"/>
      <c r="F5" s="45"/>
      <c r="G5" s="48"/>
    </row>
    <row r="6" spans="2:7" x14ac:dyDescent="0.25">
      <c r="B6" s="45"/>
      <c r="C6" s="45"/>
      <c r="D6" s="45"/>
      <c r="E6" s="45"/>
      <c r="F6" s="45"/>
      <c r="G6" s="48"/>
    </row>
    <row r="7" spans="2:7" x14ac:dyDescent="0.25">
      <c r="B7" s="45"/>
      <c r="C7" s="45"/>
      <c r="E7" s="45"/>
      <c r="F7" s="45"/>
      <c r="G7" s="48"/>
    </row>
    <row r="8" spans="2:7" x14ac:dyDescent="0.25">
      <c r="G8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G9" sqref="G9"/>
    </sheetView>
  </sheetViews>
  <sheetFormatPr defaultRowHeight="15" x14ac:dyDescent="0.25"/>
  <cols>
    <col min="1" max="1" width="19.5703125" bestFit="1" customWidth="1"/>
    <col min="2" max="7" width="15.7109375" customWidth="1"/>
  </cols>
  <sheetData>
    <row r="1" spans="1:7" ht="15.75" x14ac:dyDescent="0.25">
      <c r="A1" s="1"/>
      <c r="C1" s="2" t="s">
        <v>0</v>
      </c>
      <c r="D1" s="1"/>
      <c r="E1" s="1"/>
      <c r="F1" s="1"/>
      <c r="G1" s="1"/>
    </row>
    <row r="2" spans="1:7" ht="15.75" x14ac:dyDescent="0.25">
      <c r="A2" s="1"/>
      <c r="C2" s="3" t="s">
        <v>36</v>
      </c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 t="s">
        <v>2</v>
      </c>
    </row>
    <row r="5" spans="1:7" x14ac:dyDescent="0.25">
      <c r="A5" s="1"/>
      <c r="B5" s="4" t="s">
        <v>4</v>
      </c>
      <c r="C5" s="4" t="s">
        <v>5</v>
      </c>
      <c r="D5" s="4" t="s">
        <v>6</v>
      </c>
      <c r="E5" s="4" t="s">
        <v>7</v>
      </c>
      <c r="F5" s="4" t="s">
        <v>37</v>
      </c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 t="s">
        <v>8</v>
      </c>
      <c r="B7" s="34">
        <v>2047221</v>
      </c>
      <c r="C7" s="35">
        <v>2692263</v>
      </c>
      <c r="D7" s="34">
        <v>2327825.85</v>
      </c>
      <c r="E7" s="34">
        <v>1529495.75</v>
      </c>
      <c r="F7" s="36">
        <v>1640170</v>
      </c>
      <c r="G7" s="6">
        <f>SUM(B7:F7)</f>
        <v>10236975.6</v>
      </c>
    </row>
    <row r="8" spans="1:7" x14ac:dyDescent="0.25">
      <c r="A8" s="1"/>
      <c r="B8" s="5"/>
      <c r="C8" s="5"/>
      <c r="D8" s="5"/>
      <c r="E8" s="6"/>
      <c r="F8" s="28"/>
      <c r="G8" s="5"/>
    </row>
    <row r="9" spans="1:7" x14ac:dyDescent="0.25">
      <c r="A9" s="1" t="s">
        <v>9</v>
      </c>
      <c r="B9" s="5"/>
      <c r="C9" s="5"/>
      <c r="D9" s="5"/>
      <c r="E9" s="6"/>
      <c r="F9" s="28"/>
      <c r="G9" s="6">
        <f>+'FY15 excess gifts with Given'!L47</f>
        <v>5196871.4460000005</v>
      </c>
    </row>
    <row r="10" spans="1:7" x14ac:dyDescent="0.25">
      <c r="A10" s="1"/>
      <c r="B10" s="5"/>
      <c r="C10" s="5"/>
      <c r="D10" s="5"/>
      <c r="E10" s="6"/>
      <c r="F10" s="28"/>
      <c r="G10" s="5"/>
    </row>
    <row r="11" spans="1:7" x14ac:dyDescent="0.25">
      <c r="A11" s="1" t="s">
        <v>10</v>
      </c>
      <c r="B11" s="5"/>
      <c r="C11" s="5"/>
      <c r="D11" s="5"/>
      <c r="E11" s="6"/>
      <c r="F11" s="28"/>
      <c r="G11" s="7">
        <f>+G7-G9</f>
        <v>5040104.1539999992</v>
      </c>
    </row>
    <row r="12" spans="1:7" x14ac:dyDescent="0.25">
      <c r="A12" s="1"/>
      <c r="B12" s="5"/>
      <c r="C12" s="5"/>
      <c r="D12" s="5"/>
      <c r="E12" s="5"/>
      <c r="F12" s="29"/>
      <c r="G12" s="5"/>
    </row>
    <row r="13" spans="1:7" x14ac:dyDescent="0.25">
      <c r="A13" s="1" t="s">
        <v>11</v>
      </c>
      <c r="B13" s="5">
        <f t="shared" ref="B13:F13" si="0">+B7</f>
        <v>2047221</v>
      </c>
      <c r="C13" s="5">
        <f t="shared" si="0"/>
        <v>2692263</v>
      </c>
      <c r="D13" s="5">
        <f t="shared" si="0"/>
        <v>2327825.85</v>
      </c>
      <c r="E13" s="5">
        <f t="shared" si="0"/>
        <v>1529495.75</v>
      </c>
      <c r="F13" s="29">
        <f t="shared" si="0"/>
        <v>1640170</v>
      </c>
      <c r="G13" s="5">
        <f>SUM(B13:F13)</f>
        <v>10236975.6</v>
      </c>
    </row>
    <row r="14" spans="1:7" x14ac:dyDescent="0.25">
      <c r="A14" s="1"/>
      <c r="B14" s="5"/>
      <c r="C14" s="5"/>
      <c r="D14" s="5"/>
      <c r="E14" s="5"/>
      <c r="F14" s="29"/>
      <c r="G14" s="5"/>
    </row>
    <row r="15" spans="1:7" x14ac:dyDescent="0.25">
      <c r="A15" s="1" t="s">
        <v>12</v>
      </c>
      <c r="B15" s="5">
        <v>413790</v>
      </c>
      <c r="C15" s="5">
        <v>478330</v>
      </c>
      <c r="D15" s="5">
        <v>725019</v>
      </c>
      <c r="E15" s="5">
        <v>454140</v>
      </c>
      <c r="F15" s="29">
        <v>501147</v>
      </c>
      <c r="G15" s="8">
        <f>SUM(B15:F15)</f>
        <v>2572426</v>
      </c>
    </row>
    <row r="16" spans="1:7" x14ac:dyDescent="0.25">
      <c r="A16" s="1"/>
      <c r="B16" s="5"/>
      <c r="C16" s="5"/>
      <c r="D16" s="5"/>
      <c r="E16" s="5"/>
      <c r="F16" s="5"/>
      <c r="G16" s="5"/>
    </row>
    <row r="17" spans="1:8" x14ac:dyDescent="0.25">
      <c r="A17" s="1" t="s">
        <v>13</v>
      </c>
      <c r="B17" s="5"/>
      <c r="C17" s="5"/>
      <c r="D17" s="5"/>
      <c r="E17" s="5"/>
      <c r="F17" s="5"/>
      <c r="G17" s="9">
        <f>SUM(B13:F15)</f>
        <v>12809401.6</v>
      </c>
    </row>
    <row r="18" spans="1:8" x14ac:dyDescent="0.25">
      <c r="A18" s="1" t="s">
        <v>15</v>
      </c>
      <c r="B18" s="5"/>
      <c r="C18" s="5"/>
      <c r="D18" s="5"/>
      <c r="E18" s="5"/>
      <c r="F18" s="5"/>
      <c r="G18" s="5">
        <f>+G17*0.02</f>
        <v>256188.03200000001</v>
      </c>
    </row>
    <row r="19" spans="1:8" x14ac:dyDescent="0.25">
      <c r="A19" s="1"/>
      <c r="B19" s="5"/>
      <c r="C19" s="5"/>
      <c r="D19" s="5"/>
      <c r="E19" s="5"/>
      <c r="F19" s="5"/>
      <c r="G19" s="5"/>
    </row>
    <row r="20" spans="1:8" x14ac:dyDescent="0.25">
      <c r="A20" s="1" t="s">
        <v>16</v>
      </c>
      <c r="B20" s="5"/>
      <c r="C20" s="5"/>
      <c r="D20" s="5"/>
      <c r="E20" s="5"/>
      <c r="F20" s="5"/>
      <c r="G20" s="10">
        <f>+G11/G17</f>
        <v>0.39346913395236194</v>
      </c>
      <c r="H20" t="s">
        <v>38</v>
      </c>
    </row>
    <row r="21" spans="1:8" x14ac:dyDescent="0.25">
      <c r="A21" s="1"/>
      <c r="B21" s="5"/>
      <c r="C21" s="5"/>
      <c r="F21" s="5"/>
      <c r="G21" s="5"/>
    </row>
    <row r="22" spans="1:8" x14ac:dyDescent="0.25">
      <c r="A22" s="1"/>
      <c r="B22" s="5"/>
      <c r="C22" s="5"/>
      <c r="D22" s="5" t="s">
        <v>39</v>
      </c>
      <c r="E22" s="11">
        <v>0.39360000000000001</v>
      </c>
      <c r="F22" s="11"/>
      <c r="G22" s="5"/>
    </row>
    <row r="23" spans="1:8" x14ac:dyDescent="0.25">
      <c r="A23" s="1"/>
      <c r="B23" s="5"/>
      <c r="C23" s="5"/>
      <c r="D23" s="5" t="s">
        <v>17</v>
      </c>
      <c r="E23" s="11">
        <v>0.39019999999999999</v>
      </c>
      <c r="F23" s="5"/>
      <c r="G23" s="5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22" workbookViewId="0">
      <selection sqref="A1:L47"/>
    </sheetView>
  </sheetViews>
  <sheetFormatPr defaultRowHeight="15" x14ac:dyDescent="0.25"/>
  <cols>
    <col min="1" max="1" width="28.42578125" bestFit="1" customWidth="1"/>
    <col min="4" max="9" width="15.7109375" customWidth="1"/>
    <col min="10" max="10" width="20.140625" bestFit="1" customWidth="1"/>
    <col min="11" max="12" width="15.7109375" customWidth="1"/>
  </cols>
  <sheetData>
    <row r="1" spans="1:12" x14ac:dyDescent="0.25">
      <c r="A1" s="12"/>
      <c r="B1" s="12"/>
      <c r="C1" s="12"/>
      <c r="D1" s="13"/>
      <c r="E1" s="12"/>
      <c r="F1" s="12"/>
      <c r="G1" s="12"/>
      <c r="H1" s="12"/>
      <c r="I1" s="30"/>
      <c r="J1" s="12"/>
      <c r="K1" s="14"/>
      <c r="L1" s="12"/>
    </row>
    <row r="2" spans="1:12" x14ac:dyDescent="0.25">
      <c r="A2" s="15" t="s">
        <v>18</v>
      </c>
      <c r="B2" s="15" t="s">
        <v>19</v>
      </c>
      <c r="C2" s="15"/>
      <c r="D2" s="15" t="s">
        <v>20</v>
      </c>
      <c r="E2" s="16" t="s">
        <v>22</v>
      </c>
      <c r="F2" s="16" t="s">
        <v>23</v>
      </c>
      <c r="G2" s="16" t="s">
        <v>24</v>
      </c>
      <c r="H2" s="16" t="s">
        <v>7</v>
      </c>
      <c r="I2" s="31" t="s">
        <v>37</v>
      </c>
      <c r="J2" s="15" t="s">
        <v>25</v>
      </c>
      <c r="K2" s="12" t="s">
        <v>26</v>
      </c>
      <c r="L2" s="17">
        <f>+'FY15 sched A w Given'!G18</f>
        <v>256188.03200000001</v>
      </c>
    </row>
    <row r="3" spans="1:12" x14ac:dyDescent="0.25">
      <c r="A3" s="15"/>
      <c r="B3" s="18"/>
      <c r="C3" s="18"/>
      <c r="D3" s="19"/>
      <c r="E3" s="15"/>
      <c r="F3" s="15"/>
      <c r="G3" s="15"/>
      <c r="H3" s="15"/>
      <c r="I3" s="24"/>
      <c r="J3" s="19"/>
      <c r="K3" s="19"/>
      <c r="L3" s="19"/>
    </row>
    <row r="4" spans="1:12" x14ac:dyDescent="0.25">
      <c r="A4" s="15" t="s">
        <v>27</v>
      </c>
      <c r="B4" s="18" t="s">
        <v>4</v>
      </c>
      <c r="C4" s="18"/>
      <c r="D4" s="19">
        <v>555521</v>
      </c>
      <c r="E4" s="20">
        <f>+D4</f>
        <v>555521</v>
      </c>
      <c r="F4" s="20"/>
      <c r="G4" s="20"/>
      <c r="H4" s="20"/>
      <c r="I4" s="22"/>
      <c r="J4" s="19"/>
      <c r="K4" s="19"/>
      <c r="L4" s="19"/>
    </row>
    <row r="5" spans="1:12" x14ac:dyDescent="0.25">
      <c r="A5" s="15" t="s">
        <v>27</v>
      </c>
      <c r="B5" s="18" t="s">
        <v>5</v>
      </c>
      <c r="C5" s="18"/>
      <c r="D5" s="19">
        <v>996967</v>
      </c>
      <c r="E5" s="20"/>
      <c r="F5" s="20">
        <f>+D5</f>
        <v>996967</v>
      </c>
      <c r="G5" s="20"/>
      <c r="H5" s="20"/>
      <c r="I5" s="22"/>
      <c r="J5" s="19"/>
      <c r="K5" s="19"/>
      <c r="L5" s="19"/>
    </row>
    <row r="6" spans="1:12" x14ac:dyDescent="0.25">
      <c r="A6" s="15" t="s">
        <v>27</v>
      </c>
      <c r="B6" s="18" t="s">
        <v>6</v>
      </c>
      <c r="C6" s="18"/>
      <c r="D6" s="19">
        <v>782167</v>
      </c>
      <c r="E6" s="20"/>
      <c r="F6" s="20"/>
      <c r="G6" s="20">
        <f>+D6</f>
        <v>782167</v>
      </c>
      <c r="H6" s="20"/>
      <c r="I6" s="22"/>
      <c r="K6" s="19"/>
      <c r="L6" s="19"/>
    </row>
    <row r="7" spans="1:12" x14ac:dyDescent="0.25">
      <c r="A7" s="15" t="s">
        <v>27</v>
      </c>
      <c r="B7" s="18" t="s">
        <v>7</v>
      </c>
      <c r="C7" s="18"/>
      <c r="D7" s="19">
        <v>691698</v>
      </c>
      <c r="E7" s="20"/>
      <c r="F7" s="20"/>
      <c r="G7" s="20"/>
      <c r="H7" s="20">
        <f>+D7</f>
        <v>691698</v>
      </c>
      <c r="I7" s="22"/>
      <c r="K7" s="19"/>
      <c r="L7" s="19"/>
    </row>
    <row r="8" spans="1:12" x14ac:dyDescent="0.25">
      <c r="A8" s="15" t="s">
        <v>27</v>
      </c>
      <c r="B8" s="18" t="s">
        <v>37</v>
      </c>
      <c r="D8" s="19">
        <f>898905</f>
        <v>898905</v>
      </c>
      <c r="I8" s="22">
        <v>685404</v>
      </c>
      <c r="J8" s="19">
        <f>SUM(E4:I8)</f>
        <v>3711757</v>
      </c>
      <c r="K8" s="19">
        <f>IF(J8&gt;L$2,L$2,J8)</f>
        <v>256188.03200000001</v>
      </c>
      <c r="L8" s="19">
        <f>IF(K8=L$2,J8-K8,0)</f>
        <v>3455568.9679999999</v>
      </c>
    </row>
    <row r="9" spans="1:12" x14ac:dyDescent="0.25">
      <c r="A9" s="23"/>
      <c r="B9" s="18"/>
      <c r="C9" s="18"/>
      <c r="D9" s="19"/>
      <c r="E9" s="20"/>
      <c r="F9" s="20"/>
      <c r="G9" s="20"/>
      <c r="H9" s="20"/>
      <c r="I9" s="22"/>
      <c r="J9" s="19"/>
      <c r="K9" s="19"/>
      <c r="L9" s="19"/>
    </row>
    <row r="10" spans="1:12" x14ac:dyDescent="0.25">
      <c r="A10" s="15" t="s">
        <v>28</v>
      </c>
      <c r="B10" s="18" t="s">
        <v>4</v>
      </c>
      <c r="C10" s="18"/>
      <c r="D10" s="19">
        <v>500000</v>
      </c>
      <c r="E10" s="20">
        <f>+D10</f>
        <v>500000</v>
      </c>
      <c r="F10" s="15"/>
      <c r="G10" s="15"/>
      <c r="H10" s="15"/>
      <c r="I10" s="24"/>
      <c r="J10" s="19"/>
      <c r="K10" s="19"/>
      <c r="L10" s="19"/>
    </row>
    <row r="11" spans="1:12" x14ac:dyDescent="0.25">
      <c r="A11" s="15" t="s">
        <v>28</v>
      </c>
      <c r="B11" s="18" t="s">
        <v>6</v>
      </c>
      <c r="C11" s="18"/>
      <c r="D11" s="19">
        <v>336890.85</v>
      </c>
      <c r="E11" s="15"/>
      <c r="F11" s="15"/>
      <c r="G11" s="20">
        <f>+D11</f>
        <v>336890.85</v>
      </c>
      <c r="H11" s="20"/>
      <c r="I11" s="22"/>
      <c r="K11" s="19"/>
      <c r="L11" s="19"/>
    </row>
    <row r="12" spans="1:12" x14ac:dyDescent="0.25">
      <c r="A12" s="15" t="s">
        <v>28</v>
      </c>
      <c r="B12" s="18" t="s">
        <v>7</v>
      </c>
      <c r="C12" s="18"/>
      <c r="D12" s="19">
        <v>2275.75</v>
      </c>
      <c r="E12" s="15"/>
      <c r="F12" s="15"/>
      <c r="G12" s="20"/>
      <c r="H12" s="20">
        <f>+D12</f>
        <v>2275.75</v>
      </c>
      <c r="I12" s="22"/>
      <c r="K12" s="19"/>
      <c r="L12" s="19"/>
    </row>
    <row r="13" spans="1:12" x14ac:dyDescent="0.25">
      <c r="A13" s="15" t="s">
        <v>28</v>
      </c>
      <c r="B13" s="18" t="s">
        <v>37</v>
      </c>
      <c r="D13" s="19">
        <v>2275.75</v>
      </c>
      <c r="I13" s="22">
        <v>2250</v>
      </c>
      <c r="J13" s="19">
        <f>SUM(E10:I13)</f>
        <v>841416.6</v>
      </c>
      <c r="K13" s="19">
        <f>IF(J13&gt;L$2,L$2,J13)</f>
        <v>256188.03200000001</v>
      </c>
      <c r="L13" s="19">
        <f>IF(K13=L$2,J13-K13,0)</f>
        <v>585228.56799999997</v>
      </c>
    </row>
    <row r="14" spans="1:12" x14ac:dyDescent="0.25">
      <c r="A14" s="15"/>
      <c r="B14" s="18"/>
      <c r="C14" s="18"/>
      <c r="D14" s="19"/>
      <c r="E14" s="15"/>
      <c r="F14" s="15"/>
      <c r="G14" s="15"/>
      <c r="H14" s="15"/>
      <c r="I14" s="24"/>
      <c r="J14" s="19"/>
      <c r="K14" s="19"/>
      <c r="L14" s="19"/>
    </row>
    <row r="15" spans="1:12" x14ac:dyDescent="0.25">
      <c r="A15" s="15" t="s">
        <v>29</v>
      </c>
      <c r="B15" s="18" t="s">
        <v>4</v>
      </c>
      <c r="C15" s="18"/>
      <c r="D15" s="19">
        <v>75000</v>
      </c>
      <c r="E15" s="20">
        <f>+D15</f>
        <v>75000</v>
      </c>
      <c r="F15" s="20"/>
      <c r="G15" s="20"/>
      <c r="H15" s="20"/>
      <c r="I15" s="22"/>
      <c r="J15" s="19"/>
      <c r="K15" s="19"/>
      <c r="L15" s="19"/>
    </row>
    <row r="16" spans="1:12" x14ac:dyDescent="0.25">
      <c r="A16" s="15" t="s">
        <v>29</v>
      </c>
      <c r="B16" s="18" t="s">
        <v>5</v>
      </c>
      <c r="C16" s="18"/>
      <c r="D16" s="19">
        <v>75000</v>
      </c>
      <c r="E16" s="20"/>
      <c r="F16" s="20">
        <f>+D16</f>
        <v>75000</v>
      </c>
      <c r="G16" s="20"/>
      <c r="H16" s="20"/>
      <c r="I16" s="22"/>
      <c r="J16" s="19"/>
      <c r="K16" s="19"/>
      <c r="L16" s="19"/>
    </row>
    <row r="17" spans="1:12" x14ac:dyDescent="0.25">
      <c r="A17" s="15" t="s">
        <v>29</v>
      </c>
      <c r="B17" s="18" t="s">
        <v>6</v>
      </c>
      <c r="C17" s="18"/>
      <c r="D17" s="19">
        <v>75000</v>
      </c>
      <c r="E17" s="20"/>
      <c r="F17" s="20"/>
      <c r="G17" s="20">
        <f>+D17</f>
        <v>75000</v>
      </c>
      <c r="H17" s="20"/>
      <c r="I17" s="22"/>
      <c r="K17" s="19"/>
      <c r="L17" s="19"/>
    </row>
    <row r="18" spans="1:12" x14ac:dyDescent="0.25">
      <c r="A18" s="15" t="s">
        <v>29</v>
      </c>
      <c r="B18" s="18" t="s">
        <v>7</v>
      </c>
      <c r="C18" s="18"/>
      <c r="D18" s="19">
        <v>35000</v>
      </c>
      <c r="E18" s="20"/>
      <c r="F18" s="20"/>
      <c r="G18" s="20"/>
      <c r="H18" s="20">
        <f>+D18</f>
        <v>35000</v>
      </c>
      <c r="I18" s="22"/>
      <c r="K18" s="19"/>
      <c r="L18" s="19"/>
    </row>
    <row r="19" spans="1:12" x14ac:dyDescent="0.25">
      <c r="A19" s="15" t="s">
        <v>29</v>
      </c>
      <c r="B19" s="18" t="s">
        <v>37</v>
      </c>
      <c r="C19" s="18"/>
      <c r="D19" s="19">
        <v>75000</v>
      </c>
      <c r="I19" s="22">
        <v>35000</v>
      </c>
      <c r="J19" s="19">
        <f>SUM(E15:I19)</f>
        <v>295000</v>
      </c>
      <c r="K19" s="19">
        <f>IF(J19&gt;L$2,L$2,J19)</f>
        <v>256188.03200000001</v>
      </c>
      <c r="L19" s="19">
        <f>IF(K19=L$2,J19-K19,0)</f>
        <v>38811.967999999993</v>
      </c>
    </row>
    <row r="20" spans="1:12" x14ac:dyDescent="0.25">
      <c r="A20" s="15"/>
      <c r="B20" s="18"/>
      <c r="C20" s="18"/>
      <c r="D20" s="19"/>
      <c r="E20" s="20"/>
      <c r="F20" s="20"/>
      <c r="G20" s="20"/>
      <c r="H20" s="20"/>
      <c r="I20" s="22"/>
      <c r="J20" s="19"/>
      <c r="K20" s="19"/>
      <c r="L20" s="19"/>
    </row>
    <row r="21" spans="1:12" x14ac:dyDescent="0.25">
      <c r="A21" s="15" t="s">
        <v>30</v>
      </c>
      <c r="B21" s="18" t="s">
        <v>4</v>
      </c>
      <c r="C21" s="18"/>
      <c r="D21" s="19">
        <v>100000</v>
      </c>
      <c r="E21" s="20">
        <f>+D21</f>
        <v>100000</v>
      </c>
      <c r="F21" s="15"/>
      <c r="G21" s="15"/>
      <c r="H21" s="15"/>
      <c r="I21" s="24"/>
      <c r="J21" s="19"/>
      <c r="K21" s="19"/>
      <c r="L21" s="19"/>
    </row>
    <row r="22" spans="1:12" x14ac:dyDescent="0.25">
      <c r="A22" s="15" t="s">
        <v>30</v>
      </c>
      <c r="B22" s="18" t="s">
        <v>5</v>
      </c>
      <c r="C22" s="18"/>
      <c r="D22" s="19">
        <v>180000</v>
      </c>
      <c r="E22" s="15"/>
      <c r="F22" s="20">
        <f>+D22</f>
        <v>180000</v>
      </c>
      <c r="G22" s="15"/>
      <c r="H22" s="15"/>
      <c r="I22" s="24"/>
      <c r="J22" s="19"/>
      <c r="K22" s="19"/>
      <c r="L22" s="19"/>
    </row>
    <row r="23" spans="1:12" x14ac:dyDescent="0.25">
      <c r="A23" s="15" t="s">
        <v>30</v>
      </c>
      <c r="B23" s="18" t="s">
        <v>6</v>
      </c>
      <c r="C23" s="18"/>
      <c r="D23" s="19">
        <v>150000</v>
      </c>
      <c r="E23" s="20"/>
      <c r="F23" s="20"/>
      <c r="G23" s="20">
        <f>+D23</f>
        <v>150000</v>
      </c>
      <c r="H23" s="20"/>
      <c r="I23" s="22"/>
      <c r="K23" s="19"/>
      <c r="L23" s="19"/>
    </row>
    <row r="24" spans="1:12" x14ac:dyDescent="0.25">
      <c r="A24" s="15" t="s">
        <v>30</v>
      </c>
      <c r="B24" s="18" t="s">
        <v>7</v>
      </c>
      <c r="C24" s="18"/>
      <c r="D24" s="19">
        <v>85000</v>
      </c>
      <c r="E24" s="20"/>
      <c r="F24" s="20"/>
      <c r="G24" s="20"/>
      <c r="H24" s="20">
        <f>+D24</f>
        <v>85000</v>
      </c>
      <c r="I24" s="22"/>
      <c r="K24" s="19"/>
      <c r="L24" s="19"/>
    </row>
    <row r="25" spans="1:12" x14ac:dyDescent="0.25">
      <c r="A25" s="15" t="s">
        <v>30</v>
      </c>
      <c r="B25" s="18" t="s">
        <v>37</v>
      </c>
      <c r="D25" s="19">
        <v>10000</v>
      </c>
      <c r="I25" s="21">
        <f>+D25</f>
        <v>10000</v>
      </c>
      <c r="J25" s="19">
        <f>SUM(E21:I25)</f>
        <v>525000</v>
      </c>
      <c r="K25" s="19">
        <f>IF(J25&gt;L$2,L$2,J25)</f>
        <v>256188.03200000001</v>
      </c>
      <c r="L25" s="19">
        <f>IF(K25=L$2,J25-K25,0)</f>
        <v>268811.96799999999</v>
      </c>
    </row>
    <row r="26" spans="1:12" x14ac:dyDescent="0.25">
      <c r="A26" s="15"/>
      <c r="B26" s="18"/>
      <c r="C26" s="18"/>
      <c r="D26" s="19"/>
      <c r="E26" s="20"/>
      <c r="F26" s="20"/>
      <c r="G26" s="20"/>
      <c r="H26" s="20"/>
      <c r="I26" s="22"/>
      <c r="J26" s="19"/>
      <c r="K26" s="19"/>
      <c r="L26" s="19"/>
    </row>
    <row r="27" spans="1:12" x14ac:dyDescent="0.25">
      <c r="A27" s="15" t="s">
        <v>31</v>
      </c>
      <c r="B27" s="18" t="s">
        <v>4</v>
      </c>
      <c r="C27" s="18"/>
      <c r="D27" s="19">
        <v>50000</v>
      </c>
      <c r="E27" s="20">
        <f>+D27</f>
        <v>50000</v>
      </c>
      <c r="F27" s="20"/>
      <c r="G27" s="20"/>
      <c r="H27" s="20"/>
      <c r="I27" s="22"/>
      <c r="J27" s="19"/>
      <c r="K27" s="19"/>
      <c r="L27" s="19"/>
    </row>
    <row r="28" spans="1:12" x14ac:dyDescent="0.25">
      <c r="A28" s="15" t="s">
        <v>31</v>
      </c>
      <c r="B28" s="18" t="s">
        <v>5</v>
      </c>
      <c r="C28" s="18"/>
      <c r="D28" s="19">
        <v>50200</v>
      </c>
      <c r="E28" s="20"/>
      <c r="F28" s="20">
        <f>+D28</f>
        <v>50200</v>
      </c>
      <c r="G28" s="20"/>
      <c r="H28" s="20"/>
      <c r="I28" s="22"/>
      <c r="J28" s="19"/>
      <c r="K28" s="19"/>
      <c r="L28" s="19"/>
    </row>
    <row r="29" spans="1:12" x14ac:dyDescent="0.25">
      <c r="A29" s="15" t="s">
        <v>31</v>
      </c>
      <c r="B29" s="18" t="s">
        <v>6</v>
      </c>
      <c r="C29" s="18"/>
      <c r="D29" s="19">
        <v>288326</v>
      </c>
      <c r="E29" s="20"/>
      <c r="F29" s="20"/>
      <c r="G29" s="20">
        <f>+D29</f>
        <v>288326</v>
      </c>
      <c r="H29" s="20"/>
      <c r="I29" s="22"/>
      <c r="K29" s="19"/>
      <c r="L29" s="19"/>
    </row>
    <row r="30" spans="1:12" x14ac:dyDescent="0.25">
      <c r="A30" s="15" t="s">
        <v>31</v>
      </c>
      <c r="B30" s="18" t="s">
        <v>7</v>
      </c>
      <c r="C30" s="18"/>
      <c r="D30" s="19">
        <v>340000</v>
      </c>
      <c r="E30" s="20"/>
      <c r="F30" s="20"/>
      <c r="G30" s="20"/>
      <c r="H30" s="20">
        <f>+D30</f>
        <v>340000</v>
      </c>
      <c r="I30" s="22"/>
      <c r="K30" s="19"/>
      <c r="L30" s="19"/>
    </row>
    <row r="31" spans="1:12" x14ac:dyDescent="0.25">
      <c r="A31" s="15" t="s">
        <v>31</v>
      </c>
      <c r="B31" s="18" t="s">
        <v>37</v>
      </c>
      <c r="D31" s="19">
        <v>150000</v>
      </c>
      <c r="I31" s="22">
        <v>204000</v>
      </c>
      <c r="J31" s="19">
        <f>SUM(E27:I31)</f>
        <v>932526</v>
      </c>
      <c r="K31" s="19">
        <f>IF(J31&gt;L$2,L$2,J31)</f>
        <v>256188.03200000001</v>
      </c>
      <c r="L31" s="19">
        <f>IF(K31=L$2,J31-K31,0)</f>
        <v>676337.96799999999</v>
      </c>
    </row>
    <row r="32" spans="1:12" x14ac:dyDescent="0.25">
      <c r="A32" s="15"/>
      <c r="B32" s="18"/>
      <c r="C32" s="18"/>
      <c r="D32" s="19"/>
      <c r="E32" s="20"/>
      <c r="F32" s="20"/>
      <c r="G32" s="20"/>
      <c r="H32" s="20"/>
      <c r="I32" s="22"/>
      <c r="J32" s="19"/>
      <c r="K32" s="19"/>
      <c r="L32" s="19"/>
    </row>
    <row r="33" spans="1:12" x14ac:dyDescent="0.25">
      <c r="A33" s="15" t="s">
        <v>32</v>
      </c>
      <c r="B33" s="18" t="s">
        <v>4</v>
      </c>
      <c r="C33" s="18"/>
      <c r="D33" s="19">
        <v>14000</v>
      </c>
      <c r="E33" s="20">
        <f>+D33</f>
        <v>14000</v>
      </c>
      <c r="F33" s="20"/>
      <c r="G33" s="20"/>
      <c r="H33" s="20"/>
      <c r="I33" s="22"/>
      <c r="J33" s="19"/>
      <c r="K33" s="19"/>
      <c r="L33" s="19"/>
    </row>
    <row r="34" spans="1:12" x14ac:dyDescent="0.25">
      <c r="A34" s="15" t="s">
        <v>32</v>
      </c>
      <c r="B34" s="18" t="s">
        <v>5</v>
      </c>
      <c r="C34" s="18"/>
      <c r="D34" s="19">
        <v>403612.07</v>
      </c>
      <c r="E34" s="20"/>
      <c r="F34" s="20">
        <f>+D34</f>
        <v>403612.07</v>
      </c>
      <c r="G34" s="20"/>
      <c r="H34" s="20"/>
      <c r="I34" s="22"/>
      <c r="K34" s="19"/>
      <c r="L34" s="19"/>
    </row>
    <row r="35" spans="1:12" x14ac:dyDescent="0.25">
      <c r="A35" s="15"/>
      <c r="B35" s="18"/>
      <c r="C35" s="18"/>
      <c r="D35" s="19"/>
      <c r="E35" s="20"/>
      <c r="F35" s="20"/>
      <c r="G35" s="20"/>
      <c r="H35" s="20"/>
      <c r="I35" s="22"/>
      <c r="J35" s="19">
        <f>SUM(E33:I35)</f>
        <v>417612.07</v>
      </c>
      <c r="K35" s="19">
        <f>IF(J35&gt;L$2,L$2,J35)</f>
        <v>256188.03200000001</v>
      </c>
      <c r="L35" s="19">
        <f>IF(K35=L$2,J35-K35,0)</f>
        <v>161424.038</v>
      </c>
    </row>
    <row r="36" spans="1:12" x14ac:dyDescent="0.25">
      <c r="A36" s="15"/>
      <c r="B36" s="18"/>
      <c r="C36" s="18"/>
      <c r="D36" s="19"/>
      <c r="E36" s="20"/>
      <c r="F36" s="20"/>
      <c r="G36" s="20"/>
      <c r="H36" s="20"/>
      <c r="I36" s="22"/>
      <c r="J36" s="19"/>
      <c r="K36" s="19"/>
      <c r="L36" s="19"/>
    </row>
    <row r="37" spans="1:12" x14ac:dyDescent="0.25">
      <c r="A37" s="15" t="s">
        <v>34</v>
      </c>
      <c r="B37" s="18" t="s">
        <v>4</v>
      </c>
      <c r="C37" s="18"/>
      <c r="D37" s="19">
        <v>65100</v>
      </c>
      <c r="E37" s="19">
        <f>+D37</f>
        <v>65100</v>
      </c>
      <c r="F37" s="19"/>
      <c r="G37" s="19"/>
      <c r="H37" s="19"/>
      <c r="I37" s="32"/>
      <c r="J37" s="19"/>
      <c r="K37" s="19"/>
      <c r="L37" s="19"/>
    </row>
    <row r="38" spans="1:12" x14ac:dyDescent="0.25">
      <c r="A38" s="15" t="s">
        <v>34</v>
      </c>
      <c r="B38" s="18" t="s">
        <v>5</v>
      </c>
      <c r="C38" s="18"/>
      <c r="D38" s="19">
        <v>11925</v>
      </c>
      <c r="E38" s="19"/>
      <c r="F38" s="19">
        <f>+D38</f>
        <v>11925</v>
      </c>
      <c r="G38" s="19"/>
      <c r="H38" s="19"/>
      <c r="I38" s="32"/>
      <c r="J38" s="19"/>
      <c r="K38" s="19"/>
      <c r="L38" s="19"/>
    </row>
    <row r="39" spans="1:12" x14ac:dyDescent="0.25">
      <c r="A39" s="15" t="s">
        <v>34</v>
      </c>
      <c r="B39" s="18" t="s">
        <v>6</v>
      </c>
      <c r="C39" s="18"/>
      <c r="D39" s="19">
        <v>24000</v>
      </c>
      <c r="E39" s="19"/>
      <c r="F39" s="19"/>
      <c r="G39" s="19">
        <f>+D39</f>
        <v>24000</v>
      </c>
      <c r="H39" s="19"/>
      <c r="I39" s="32"/>
    </row>
    <row r="40" spans="1:12" x14ac:dyDescent="0.25">
      <c r="A40" s="15" t="s">
        <v>34</v>
      </c>
      <c r="B40" s="18" t="s">
        <v>7</v>
      </c>
      <c r="C40" s="18"/>
      <c r="D40" s="19">
        <v>0</v>
      </c>
      <c r="E40" s="19"/>
      <c r="F40" s="19"/>
      <c r="G40" s="19"/>
      <c r="H40" s="19">
        <f>+D40</f>
        <v>0</v>
      </c>
      <c r="I40" s="32"/>
    </row>
    <row r="41" spans="1:12" x14ac:dyDescent="0.25">
      <c r="A41" s="15" t="s">
        <v>34</v>
      </c>
      <c r="B41" s="18" t="s">
        <v>37</v>
      </c>
      <c r="C41" s="18"/>
      <c r="D41" s="19">
        <v>165851</v>
      </c>
      <c r="E41" s="19"/>
      <c r="F41" s="19"/>
      <c r="G41" s="19"/>
      <c r="H41" s="19"/>
      <c r="I41" s="32">
        <f>+D41</f>
        <v>165851</v>
      </c>
      <c r="J41" s="19">
        <f>SUM(E37:I41)</f>
        <v>266876</v>
      </c>
      <c r="K41" s="19">
        <f>IF(J41&gt;L$2,L$2,J41)</f>
        <v>256188.03200000001</v>
      </c>
      <c r="L41" s="19">
        <f>IF(K41=L$2,J41-K41,0)</f>
        <v>10687.967999999993</v>
      </c>
    </row>
    <row r="42" spans="1:12" x14ac:dyDescent="0.25">
      <c r="A42" s="15"/>
      <c r="B42" s="18"/>
      <c r="C42" s="18"/>
      <c r="D42" s="19"/>
      <c r="E42" s="19"/>
      <c r="F42" s="19"/>
      <c r="G42" s="19"/>
      <c r="H42" s="19"/>
      <c r="I42" s="32"/>
      <c r="J42" s="19"/>
      <c r="K42" s="19"/>
      <c r="L42" s="19"/>
    </row>
    <row r="43" spans="1:12" x14ac:dyDescent="0.25">
      <c r="A43" s="15" t="s">
        <v>35</v>
      </c>
      <c r="B43" s="18" t="s">
        <v>6</v>
      </c>
      <c r="C43" s="18"/>
      <c r="D43" s="19">
        <v>22500</v>
      </c>
      <c r="E43" s="19"/>
      <c r="F43" s="19"/>
      <c r="G43" s="19">
        <f>+D43</f>
        <v>22500</v>
      </c>
      <c r="H43" s="19"/>
      <c r="I43" s="32"/>
      <c r="J43" s="19"/>
      <c r="K43" s="19"/>
      <c r="L43" s="19"/>
    </row>
    <row r="44" spans="1:12" x14ac:dyDescent="0.25">
      <c r="A44" s="15" t="s">
        <v>35</v>
      </c>
      <c r="B44" s="18" t="s">
        <v>7</v>
      </c>
      <c r="C44" s="18"/>
      <c r="D44" s="19">
        <v>175000</v>
      </c>
      <c r="E44" s="19"/>
      <c r="F44" s="19"/>
      <c r="G44" s="19"/>
      <c r="H44" s="19">
        <f>+D44</f>
        <v>175000</v>
      </c>
      <c r="I44" s="32"/>
      <c r="J44" s="19">
        <f>SUM(E43:I44)</f>
        <v>197500</v>
      </c>
      <c r="K44" s="19">
        <f>IF(J44&gt;L$2,L$2,J44)</f>
        <v>197500</v>
      </c>
      <c r="L44" s="19">
        <f>IF(K44=L$2,J44-K44,0)</f>
        <v>0</v>
      </c>
    </row>
    <row r="45" spans="1:12" x14ac:dyDescent="0.25">
      <c r="A45" s="15"/>
      <c r="B45" s="18"/>
      <c r="C45" s="18"/>
      <c r="D45" s="19"/>
      <c r="E45" s="19"/>
      <c r="F45" s="19"/>
      <c r="G45" s="19"/>
      <c r="H45" s="19"/>
      <c r="I45" s="32"/>
      <c r="J45" s="19"/>
      <c r="K45" s="19"/>
      <c r="L45" s="19"/>
    </row>
    <row r="46" spans="1:12" x14ac:dyDescent="0.25">
      <c r="A46" s="16"/>
      <c r="B46" s="18"/>
      <c r="C46" s="18"/>
      <c r="D46" s="27"/>
      <c r="E46" s="27"/>
      <c r="F46" s="27"/>
      <c r="G46" s="27"/>
      <c r="H46" s="27"/>
      <c r="I46" s="33"/>
      <c r="J46" s="27"/>
      <c r="K46" s="27"/>
      <c r="L46" s="27"/>
    </row>
    <row r="47" spans="1:12" x14ac:dyDescent="0.25">
      <c r="A47" s="16"/>
      <c r="B47" s="18"/>
      <c r="C47" s="18"/>
      <c r="D47" s="19">
        <f t="shared" ref="D47:L47" si="0">SUM(D4:D46)</f>
        <v>7387214.4199999999</v>
      </c>
      <c r="E47" s="19">
        <f t="shared" si="0"/>
        <v>1359621</v>
      </c>
      <c r="F47" s="19">
        <f t="shared" si="0"/>
        <v>1717704.07</v>
      </c>
      <c r="G47" s="19">
        <f t="shared" si="0"/>
        <v>1678883.85</v>
      </c>
      <c r="H47" s="19">
        <f t="shared" si="0"/>
        <v>1328973.75</v>
      </c>
      <c r="I47" s="32">
        <f t="shared" si="0"/>
        <v>1102505</v>
      </c>
      <c r="J47" s="19">
        <f t="shared" si="0"/>
        <v>7187687.6699999999</v>
      </c>
      <c r="K47" s="19">
        <f t="shared" si="0"/>
        <v>1990816.2240000004</v>
      </c>
      <c r="L47" s="19">
        <f t="shared" si="0"/>
        <v>5196871.4460000005</v>
      </c>
    </row>
  </sheetData>
  <pageMargins left="0.7" right="0.7" top="0.7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3" sqref="G13"/>
    </sheetView>
  </sheetViews>
  <sheetFormatPr defaultRowHeight="15" x14ac:dyDescent="0.25"/>
  <cols>
    <col min="1" max="1" width="19.5703125" bestFit="1" customWidth="1"/>
    <col min="2" max="2" width="13.7109375" customWidth="1"/>
    <col min="3" max="5" width="13.42578125" bestFit="1" customWidth="1"/>
    <col min="6" max="6" width="13.42578125" style="37" customWidth="1"/>
    <col min="7" max="7" width="14.42578125" bestFit="1" customWidth="1"/>
  </cols>
  <sheetData>
    <row r="1" spans="1:7" ht="15.75" x14ac:dyDescent="0.25">
      <c r="A1" s="1"/>
      <c r="C1" s="2" t="s">
        <v>0</v>
      </c>
      <c r="D1" s="1"/>
      <c r="E1" s="1"/>
      <c r="F1" s="38"/>
      <c r="G1" s="1"/>
    </row>
    <row r="2" spans="1:7" ht="15.75" x14ac:dyDescent="0.25">
      <c r="A2" s="1"/>
      <c r="C2" s="3" t="s">
        <v>40</v>
      </c>
      <c r="D2" s="1"/>
      <c r="E2" s="1"/>
      <c r="F2" s="38"/>
      <c r="G2" s="1"/>
    </row>
    <row r="3" spans="1:7" x14ac:dyDescent="0.25">
      <c r="A3" s="1"/>
      <c r="B3" s="1"/>
      <c r="C3" s="1"/>
      <c r="D3" s="1"/>
      <c r="E3" s="1"/>
      <c r="F3" s="38"/>
      <c r="G3" s="1"/>
    </row>
    <row r="4" spans="1:7" x14ac:dyDescent="0.25">
      <c r="A4" s="1"/>
      <c r="B4" s="4">
        <v>2011</v>
      </c>
      <c r="C4" s="4">
        <v>2012</v>
      </c>
      <c r="D4" s="4">
        <v>2013</v>
      </c>
      <c r="E4" s="4">
        <v>2014</v>
      </c>
      <c r="F4" s="50">
        <v>2015</v>
      </c>
      <c r="G4" s="4" t="s">
        <v>2</v>
      </c>
    </row>
    <row r="5" spans="1:7" x14ac:dyDescent="0.25">
      <c r="A5" s="1"/>
      <c r="B5" s="4" t="s">
        <v>5</v>
      </c>
      <c r="C5" s="4" t="s">
        <v>6</v>
      </c>
      <c r="D5" s="4" t="s">
        <v>7</v>
      </c>
      <c r="E5" s="4" t="s">
        <v>37</v>
      </c>
      <c r="F5" s="50" t="s">
        <v>41</v>
      </c>
      <c r="G5" s="1"/>
    </row>
    <row r="6" spans="1:7" x14ac:dyDescent="0.25">
      <c r="A6" s="1"/>
      <c r="B6" s="1"/>
      <c r="C6" s="1"/>
      <c r="D6" s="1"/>
      <c r="E6" s="1"/>
      <c r="F6" s="51"/>
      <c r="G6" s="1"/>
    </row>
    <row r="7" spans="1:7" x14ac:dyDescent="0.25">
      <c r="A7" s="1" t="s">
        <v>8</v>
      </c>
      <c r="B7" s="35">
        <v>2692263</v>
      </c>
      <c r="C7" s="34">
        <v>2327825.85</v>
      </c>
      <c r="D7" s="34">
        <v>1529495.75</v>
      </c>
      <c r="E7" s="36">
        <v>1640170</v>
      </c>
      <c r="F7" s="52">
        <v>2083086</v>
      </c>
      <c r="G7" s="43">
        <f>SUM(B7:F7)</f>
        <v>10272840.6</v>
      </c>
    </row>
    <row r="8" spans="1:7" x14ac:dyDescent="0.25">
      <c r="A8" s="1"/>
      <c r="B8" s="5"/>
      <c r="C8" s="5"/>
      <c r="D8" s="6"/>
      <c r="E8" s="28"/>
      <c r="F8" s="40"/>
      <c r="G8" s="5"/>
    </row>
    <row r="9" spans="1:7" x14ac:dyDescent="0.25">
      <c r="A9" s="1" t="s">
        <v>9</v>
      </c>
      <c r="B9" s="5"/>
      <c r="C9" s="5"/>
      <c r="D9" s="6"/>
      <c r="E9" s="28"/>
      <c r="F9" s="40"/>
      <c r="G9" s="6">
        <f>+'FY16 excess gifts'!L49+3</f>
        <v>5153962.5340000009</v>
      </c>
    </row>
    <row r="10" spans="1:7" x14ac:dyDescent="0.25">
      <c r="A10" s="1"/>
      <c r="B10" s="5"/>
      <c r="C10" s="5"/>
      <c r="D10" s="6"/>
      <c r="E10" s="28"/>
      <c r="F10" s="40"/>
      <c r="G10" s="5"/>
    </row>
    <row r="11" spans="1:7" x14ac:dyDescent="0.25">
      <c r="A11" s="1" t="s">
        <v>10</v>
      </c>
      <c r="B11" s="5"/>
      <c r="C11" s="5"/>
      <c r="D11" s="6"/>
      <c r="E11" s="28"/>
      <c r="F11" s="40"/>
      <c r="G11" s="7">
        <f>+G7-G9</f>
        <v>5118878.0659999987</v>
      </c>
    </row>
    <row r="12" spans="1:7" x14ac:dyDescent="0.25">
      <c r="A12" s="1"/>
      <c r="B12" s="5"/>
      <c r="C12" s="5"/>
      <c r="D12" s="5"/>
      <c r="E12" s="29"/>
      <c r="F12" s="41"/>
      <c r="G12" s="5"/>
    </row>
    <row r="13" spans="1:7" x14ac:dyDescent="0.25">
      <c r="A13" s="1" t="s">
        <v>11</v>
      </c>
      <c r="B13" s="5">
        <f t="shared" ref="B13:E13" si="0">+B7</f>
        <v>2692263</v>
      </c>
      <c r="C13" s="5">
        <f t="shared" si="0"/>
        <v>2327825.85</v>
      </c>
      <c r="D13" s="5">
        <f t="shared" si="0"/>
        <v>1529495.75</v>
      </c>
      <c r="E13" s="29">
        <f t="shared" si="0"/>
        <v>1640170</v>
      </c>
      <c r="F13" s="28">
        <f>+F7</f>
        <v>2083086</v>
      </c>
      <c r="G13" s="5">
        <f>SUM(B13:F13)</f>
        <v>10272840.6</v>
      </c>
    </row>
    <row r="14" spans="1:7" x14ac:dyDescent="0.25">
      <c r="A14" s="1"/>
      <c r="B14" s="5"/>
      <c r="C14" s="5"/>
      <c r="D14" s="5"/>
      <c r="E14" s="29"/>
      <c r="F14" s="41"/>
      <c r="G14" s="5"/>
    </row>
    <row r="15" spans="1:7" x14ac:dyDescent="0.25">
      <c r="A15" s="1" t="s">
        <v>12</v>
      </c>
      <c r="B15" s="5">
        <v>478330</v>
      </c>
      <c r="C15" s="5">
        <v>725019</v>
      </c>
      <c r="D15" s="5">
        <v>454140</v>
      </c>
      <c r="E15" s="29">
        <v>501147</v>
      </c>
      <c r="F15" s="29">
        <v>442593</v>
      </c>
      <c r="G15" s="8">
        <f>SUM(B15:F15)</f>
        <v>2601229</v>
      </c>
    </row>
    <row r="16" spans="1:7" x14ac:dyDescent="0.25">
      <c r="A16" s="1"/>
      <c r="B16" s="5"/>
      <c r="C16" s="5"/>
      <c r="D16" s="5"/>
      <c r="E16" s="5"/>
      <c r="F16" s="41"/>
      <c r="G16" s="5"/>
    </row>
    <row r="17" spans="1:7" x14ac:dyDescent="0.25">
      <c r="A17" s="1" t="s">
        <v>13</v>
      </c>
      <c r="B17" s="5"/>
      <c r="C17" s="5"/>
      <c r="D17" s="5"/>
      <c r="E17" s="5"/>
      <c r="F17" s="41"/>
      <c r="G17" s="9">
        <f>SUM(B13:F15)</f>
        <v>12874069.6</v>
      </c>
    </row>
    <row r="18" spans="1:7" x14ac:dyDescent="0.25">
      <c r="A18" s="1" t="s">
        <v>15</v>
      </c>
      <c r="B18" s="5"/>
      <c r="C18" s="5"/>
      <c r="D18" s="5"/>
      <c r="E18" s="5"/>
      <c r="F18" s="41"/>
      <c r="G18" s="5">
        <f>+G17*0.02</f>
        <v>257481.39199999999</v>
      </c>
    </row>
    <row r="19" spans="1:7" x14ac:dyDescent="0.25">
      <c r="A19" s="1"/>
      <c r="B19" s="5"/>
      <c r="C19" s="5"/>
      <c r="D19" s="5"/>
      <c r="E19" s="5"/>
      <c r="F19" s="41"/>
      <c r="G19" s="5"/>
    </row>
    <row r="20" spans="1:7" x14ac:dyDescent="0.25">
      <c r="A20" s="1" t="s">
        <v>16</v>
      </c>
      <c r="B20" s="5"/>
      <c r="C20" s="5"/>
      <c r="D20" s="5"/>
      <c r="E20" s="5"/>
      <c r="F20" s="41"/>
      <c r="G20" s="10">
        <f>+G11/G17</f>
        <v>0.39761149543575552</v>
      </c>
    </row>
    <row r="21" spans="1:7" x14ac:dyDescent="0.25">
      <c r="A21" s="1"/>
      <c r="B21" s="5"/>
      <c r="E21" s="5"/>
      <c r="F21" s="41"/>
      <c r="G21" s="5"/>
    </row>
    <row r="22" spans="1:7" x14ac:dyDescent="0.25">
      <c r="A22" s="1"/>
      <c r="B22" s="5"/>
      <c r="C22" s="5" t="s">
        <v>42</v>
      </c>
      <c r="D22" s="11">
        <f>+'FY15 sched A w Given'!G20</f>
        <v>0.39346913395236194</v>
      </c>
      <c r="E22" s="11"/>
      <c r="F22" s="42"/>
      <c r="G22" s="5"/>
    </row>
    <row r="23" spans="1:7" x14ac:dyDescent="0.25">
      <c r="A23" s="1"/>
      <c r="B23" s="5"/>
      <c r="C23" s="5" t="s">
        <v>39</v>
      </c>
      <c r="D23" s="11">
        <v>0.39360000000000001</v>
      </c>
      <c r="E23" s="5"/>
      <c r="F23" s="41"/>
      <c r="G23" s="5"/>
    </row>
    <row r="24" spans="1:7" x14ac:dyDescent="0.25">
      <c r="C24" s="5" t="s">
        <v>17</v>
      </c>
      <c r="D24" s="11">
        <v>0.39019999999999999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28" workbookViewId="0">
      <selection activeCell="B58" sqref="B58"/>
    </sheetView>
  </sheetViews>
  <sheetFormatPr defaultRowHeight="15" x14ac:dyDescent="0.25"/>
  <cols>
    <col min="1" max="1" width="28.42578125" bestFit="1" customWidth="1"/>
    <col min="2" max="2" width="14.28515625" bestFit="1" customWidth="1"/>
    <col min="4" max="8" width="13.5703125" bestFit="1" customWidth="1"/>
    <col min="9" max="9" width="13.5703125" customWidth="1"/>
    <col min="10" max="10" width="20.140625" bestFit="1" customWidth="1"/>
    <col min="11" max="12" width="13.5703125" bestFit="1" customWidth="1"/>
  </cols>
  <sheetData>
    <row r="1" spans="1:12" x14ac:dyDescent="0.25">
      <c r="A1" s="12"/>
      <c r="B1" s="12"/>
      <c r="C1" s="12"/>
      <c r="D1" s="13"/>
      <c r="E1" s="12"/>
      <c r="F1" s="12"/>
      <c r="G1" s="12"/>
      <c r="H1" s="30"/>
      <c r="I1" s="30"/>
      <c r="J1" s="12"/>
      <c r="K1" s="14"/>
      <c r="L1" s="12"/>
    </row>
    <row r="2" spans="1:12" x14ac:dyDescent="0.25">
      <c r="A2" s="15" t="s">
        <v>18</v>
      </c>
      <c r="B2" s="15" t="s">
        <v>19</v>
      </c>
      <c r="C2" s="15"/>
      <c r="D2" s="15" t="s">
        <v>20</v>
      </c>
      <c r="E2" s="16" t="s">
        <v>23</v>
      </c>
      <c r="F2" s="16" t="s">
        <v>24</v>
      </c>
      <c r="G2" s="16" t="s">
        <v>7</v>
      </c>
      <c r="H2" s="31" t="s">
        <v>37</v>
      </c>
      <c r="I2" s="16" t="s">
        <v>41</v>
      </c>
      <c r="J2" s="15" t="s">
        <v>25</v>
      </c>
      <c r="K2" s="12" t="s">
        <v>26</v>
      </c>
      <c r="L2" s="17">
        <f>+'FY16 sched A'!G18</f>
        <v>257481.39199999999</v>
      </c>
    </row>
    <row r="3" spans="1:12" x14ac:dyDescent="0.25">
      <c r="A3" s="15"/>
      <c r="B3" s="18"/>
      <c r="C3" s="18"/>
      <c r="D3" s="19"/>
      <c r="E3" s="15"/>
      <c r="F3" s="15"/>
      <c r="G3" s="15"/>
      <c r="H3" s="24"/>
      <c r="I3" s="24"/>
      <c r="J3" s="19"/>
      <c r="K3" s="19"/>
      <c r="L3" s="19"/>
    </row>
    <row r="4" spans="1:12" x14ac:dyDescent="0.25">
      <c r="A4" s="15" t="s">
        <v>27</v>
      </c>
      <c r="B4" s="18" t="s">
        <v>5</v>
      </c>
      <c r="C4" s="18"/>
      <c r="D4" s="19">
        <v>996967</v>
      </c>
      <c r="E4" s="20">
        <f>+D4</f>
        <v>996967</v>
      </c>
      <c r="F4" s="20"/>
      <c r="G4" s="20"/>
      <c r="H4" s="22"/>
      <c r="I4" s="22"/>
      <c r="J4" s="19"/>
      <c r="K4" s="19"/>
      <c r="L4" s="19"/>
    </row>
    <row r="5" spans="1:12" x14ac:dyDescent="0.25">
      <c r="A5" s="15" t="s">
        <v>27</v>
      </c>
      <c r="B5" s="18" t="s">
        <v>6</v>
      </c>
      <c r="C5" s="18"/>
      <c r="D5" s="19">
        <v>782167</v>
      </c>
      <c r="E5" s="20"/>
      <c r="F5" s="20">
        <f>+D5</f>
        <v>782167</v>
      </c>
      <c r="G5" s="20"/>
      <c r="H5" s="22"/>
      <c r="I5" s="22"/>
      <c r="K5" s="19"/>
      <c r="L5" s="19"/>
    </row>
    <row r="6" spans="1:12" x14ac:dyDescent="0.25">
      <c r="A6" s="15" t="s">
        <v>27</v>
      </c>
      <c r="B6" s="18" t="s">
        <v>7</v>
      </c>
      <c r="C6" s="18"/>
      <c r="D6" s="19">
        <v>691698</v>
      </c>
      <c r="E6" s="20"/>
      <c r="F6" s="20"/>
      <c r="G6" s="20">
        <f>+D6</f>
        <v>691698</v>
      </c>
      <c r="H6" s="22"/>
      <c r="I6" s="22"/>
      <c r="K6" s="19"/>
      <c r="L6" s="19"/>
    </row>
    <row r="7" spans="1:12" x14ac:dyDescent="0.25">
      <c r="A7" s="15" t="s">
        <v>27</v>
      </c>
      <c r="B7" s="18" t="s">
        <v>37</v>
      </c>
      <c r="D7" s="19">
        <v>685404</v>
      </c>
      <c r="H7" s="22">
        <v>685404</v>
      </c>
      <c r="I7" s="22"/>
      <c r="J7" s="19"/>
      <c r="K7" s="19"/>
      <c r="L7" s="19"/>
    </row>
    <row r="8" spans="1:12" x14ac:dyDescent="0.25">
      <c r="A8" s="15" t="s">
        <v>27</v>
      </c>
      <c r="B8" s="18" t="s">
        <v>41</v>
      </c>
      <c r="D8" s="19">
        <v>750994</v>
      </c>
      <c r="H8" s="22"/>
      <c r="I8" s="22">
        <f>+D8</f>
        <v>750994</v>
      </c>
      <c r="J8" s="19">
        <f>SUM(E4:I8)</f>
        <v>3907230</v>
      </c>
      <c r="K8" s="19">
        <f>IF(J8&gt;L$2,L$2,J8)</f>
        <v>257481.39199999999</v>
      </c>
      <c r="L8" s="19">
        <f>IF(K8=L$2,J8-K8,0)</f>
        <v>3649748.608</v>
      </c>
    </row>
    <row r="9" spans="1:12" x14ac:dyDescent="0.25">
      <c r="A9" s="23"/>
      <c r="B9" s="18"/>
      <c r="C9" s="18"/>
      <c r="D9" s="19"/>
      <c r="E9" s="20"/>
      <c r="F9" s="20"/>
      <c r="G9" s="20"/>
      <c r="H9" s="22"/>
      <c r="I9" s="22"/>
      <c r="J9" s="19"/>
      <c r="K9" s="19"/>
      <c r="L9" s="19"/>
    </row>
    <row r="10" spans="1:12" x14ac:dyDescent="0.25">
      <c r="A10" s="15" t="s">
        <v>28</v>
      </c>
      <c r="B10" s="18" t="s">
        <v>6</v>
      </c>
      <c r="C10" s="18"/>
      <c r="D10" s="19">
        <v>336890.85</v>
      </c>
      <c r="E10" s="15"/>
      <c r="F10" s="20">
        <f>+D10</f>
        <v>336890.85</v>
      </c>
      <c r="G10" s="20"/>
      <c r="H10" s="22"/>
      <c r="I10" s="22"/>
      <c r="K10" s="19"/>
      <c r="L10" s="19"/>
    </row>
    <row r="11" spans="1:12" x14ac:dyDescent="0.25">
      <c r="A11" s="15" t="s">
        <v>28</v>
      </c>
      <c r="B11" s="18" t="s">
        <v>7</v>
      </c>
      <c r="C11" s="18"/>
      <c r="D11" s="19">
        <v>2275.75</v>
      </c>
      <c r="E11" s="15"/>
      <c r="F11" s="20"/>
      <c r="G11" s="20">
        <f>+D11</f>
        <v>2275.75</v>
      </c>
      <c r="H11" s="22"/>
      <c r="I11" s="22"/>
      <c r="K11" s="19"/>
      <c r="L11" s="19"/>
    </row>
    <row r="12" spans="1:12" x14ac:dyDescent="0.25">
      <c r="A12" s="15" t="s">
        <v>28</v>
      </c>
      <c r="B12" s="18" t="s">
        <v>37</v>
      </c>
      <c r="D12" s="19">
        <v>2275.75</v>
      </c>
      <c r="H12" s="22">
        <v>2250</v>
      </c>
      <c r="I12" s="22"/>
      <c r="J12" s="19"/>
      <c r="K12" s="19"/>
      <c r="L12" s="19"/>
    </row>
    <row r="13" spans="1:12" x14ac:dyDescent="0.25">
      <c r="A13" s="15" t="s">
        <v>28</v>
      </c>
      <c r="B13" s="18" t="s">
        <v>41</v>
      </c>
      <c r="D13" s="19">
        <v>2250</v>
      </c>
      <c r="H13" s="22"/>
      <c r="I13" s="22">
        <f>+D13</f>
        <v>2250</v>
      </c>
      <c r="J13" s="19">
        <f>SUM(E10:I13)</f>
        <v>343666.6</v>
      </c>
      <c r="K13" s="19">
        <f>IF(J13&gt;L$2,L$2,J13)</f>
        <v>257481.39199999999</v>
      </c>
      <c r="L13" s="19">
        <f>IF(K13=L$2,J13-K13,0)</f>
        <v>86185.207999999984</v>
      </c>
    </row>
    <row r="14" spans="1:12" x14ac:dyDescent="0.25">
      <c r="A14" s="15"/>
      <c r="B14" s="18"/>
      <c r="C14" s="18"/>
      <c r="D14" s="19"/>
      <c r="E14" s="15"/>
      <c r="F14" s="15"/>
      <c r="G14" s="15"/>
      <c r="H14" s="24"/>
      <c r="I14" s="24"/>
      <c r="J14" s="19"/>
      <c r="K14" s="19"/>
      <c r="L14" s="19"/>
    </row>
    <row r="15" spans="1:12" x14ac:dyDescent="0.25">
      <c r="A15" s="15" t="s">
        <v>29</v>
      </c>
      <c r="B15" s="18" t="s">
        <v>5</v>
      </c>
      <c r="C15" s="18"/>
      <c r="D15" s="19">
        <v>75000</v>
      </c>
      <c r="E15" s="20">
        <f>+D15</f>
        <v>75000</v>
      </c>
      <c r="F15" s="20"/>
      <c r="G15" s="20"/>
      <c r="H15" s="22"/>
      <c r="I15" s="22"/>
      <c r="J15" s="19"/>
      <c r="K15" s="19"/>
      <c r="L15" s="19"/>
    </row>
    <row r="16" spans="1:12" x14ac:dyDescent="0.25">
      <c r="A16" s="15" t="s">
        <v>29</v>
      </c>
      <c r="B16" s="18" t="s">
        <v>6</v>
      </c>
      <c r="C16" s="18"/>
      <c r="D16" s="19">
        <v>75000</v>
      </c>
      <c r="E16" s="20"/>
      <c r="F16" s="20">
        <f>+D16</f>
        <v>75000</v>
      </c>
      <c r="G16" s="20"/>
      <c r="H16" s="22"/>
      <c r="I16" s="22"/>
      <c r="K16" s="19"/>
      <c r="L16" s="19"/>
    </row>
    <row r="17" spans="1:12" x14ac:dyDescent="0.25">
      <c r="A17" s="15" t="s">
        <v>29</v>
      </c>
      <c r="B17" s="18" t="s">
        <v>7</v>
      </c>
      <c r="C17" s="18"/>
      <c r="D17" s="19">
        <v>35000</v>
      </c>
      <c r="E17" s="20"/>
      <c r="F17" s="20"/>
      <c r="G17" s="20">
        <f>+D17</f>
        <v>35000</v>
      </c>
      <c r="H17" s="22"/>
      <c r="I17" s="22"/>
      <c r="K17" s="19"/>
      <c r="L17" s="19"/>
    </row>
    <row r="18" spans="1:12" x14ac:dyDescent="0.25">
      <c r="A18" s="15" t="s">
        <v>29</v>
      </c>
      <c r="B18" s="18" t="s">
        <v>37</v>
      </c>
      <c r="C18" s="18"/>
      <c r="D18" s="19">
        <v>35000</v>
      </c>
      <c r="H18" s="22">
        <f>+D18</f>
        <v>35000</v>
      </c>
      <c r="I18" s="22"/>
      <c r="J18" s="19"/>
      <c r="K18" s="19"/>
      <c r="L18" s="19"/>
    </row>
    <row r="19" spans="1:12" x14ac:dyDescent="0.25">
      <c r="A19" s="15" t="s">
        <v>29</v>
      </c>
      <c r="B19" s="18" t="s">
        <v>41</v>
      </c>
      <c r="C19" s="18"/>
      <c r="D19" s="19">
        <v>85000</v>
      </c>
      <c r="H19" s="22"/>
      <c r="I19" s="22">
        <f>+D19</f>
        <v>85000</v>
      </c>
      <c r="J19" s="19">
        <f>SUM(E15:I19)</f>
        <v>305000</v>
      </c>
      <c r="K19" s="19">
        <f>IF(J19&gt;L$2,L$2,J19)</f>
        <v>257481.39199999999</v>
      </c>
      <c r="L19" s="19">
        <f>IF(K19=L$2,J19-K19,0)</f>
        <v>47518.608000000007</v>
      </c>
    </row>
    <row r="20" spans="1:12" x14ac:dyDescent="0.25">
      <c r="A20" s="15"/>
      <c r="B20" s="18"/>
      <c r="C20" s="18"/>
      <c r="D20" s="19"/>
      <c r="E20" s="20"/>
      <c r="F20" s="20"/>
      <c r="G20" s="20"/>
      <c r="H20" s="22"/>
      <c r="I20" s="22"/>
      <c r="J20" s="19"/>
      <c r="K20" s="19"/>
      <c r="L20" s="19"/>
    </row>
    <row r="21" spans="1:12" x14ac:dyDescent="0.25">
      <c r="A21" s="15" t="s">
        <v>30</v>
      </c>
      <c r="B21" s="18" t="s">
        <v>5</v>
      </c>
      <c r="C21" s="18"/>
      <c r="D21" s="19">
        <v>180000</v>
      </c>
      <c r="E21" s="20">
        <f>+D21</f>
        <v>180000</v>
      </c>
      <c r="F21" s="15"/>
      <c r="G21" s="15"/>
      <c r="H21" s="24"/>
      <c r="I21" s="24"/>
      <c r="J21" s="19"/>
      <c r="K21" s="19"/>
      <c r="L21" s="19"/>
    </row>
    <row r="22" spans="1:12" x14ac:dyDescent="0.25">
      <c r="A22" s="15" t="s">
        <v>30</v>
      </c>
      <c r="B22" s="18" t="s">
        <v>6</v>
      </c>
      <c r="C22" s="18"/>
      <c r="D22" s="19">
        <v>150000</v>
      </c>
      <c r="E22" s="20"/>
      <c r="F22" s="20">
        <f>+D22</f>
        <v>150000</v>
      </c>
      <c r="G22" s="20"/>
      <c r="H22" s="22"/>
      <c r="I22" s="22"/>
      <c r="K22" s="19"/>
      <c r="L22" s="19"/>
    </row>
    <row r="23" spans="1:12" x14ac:dyDescent="0.25">
      <c r="A23" s="15" t="s">
        <v>30</v>
      </c>
      <c r="B23" s="18" t="s">
        <v>7</v>
      </c>
      <c r="C23" s="18"/>
      <c r="D23" s="19">
        <v>85000</v>
      </c>
      <c r="E23" s="20"/>
      <c r="F23" s="20"/>
      <c r="G23" s="20">
        <f>+D23</f>
        <v>85000</v>
      </c>
      <c r="H23" s="22"/>
      <c r="I23" s="22"/>
      <c r="K23" s="19"/>
      <c r="L23" s="19"/>
    </row>
    <row r="24" spans="1:12" x14ac:dyDescent="0.25">
      <c r="A24" s="15" t="s">
        <v>30</v>
      </c>
      <c r="B24" s="18" t="s">
        <v>37</v>
      </c>
      <c r="D24" s="19">
        <v>10000</v>
      </c>
      <c r="H24" s="22">
        <f>+D24</f>
        <v>10000</v>
      </c>
      <c r="I24" s="22"/>
      <c r="J24" s="19"/>
      <c r="K24" s="19"/>
      <c r="L24" s="19"/>
    </row>
    <row r="25" spans="1:12" x14ac:dyDescent="0.25">
      <c r="A25" s="15" t="s">
        <v>30</v>
      </c>
      <c r="B25" s="18" t="s">
        <v>41</v>
      </c>
      <c r="D25" s="19">
        <v>35000</v>
      </c>
      <c r="H25" s="22"/>
      <c r="I25" s="22">
        <f>+D25</f>
        <v>35000</v>
      </c>
      <c r="J25" s="19">
        <f>SUM(E21:I25)</f>
        <v>460000</v>
      </c>
      <c r="K25" s="19">
        <f>IF(J25&gt;L$2,L$2,J25)</f>
        <v>257481.39199999999</v>
      </c>
      <c r="L25" s="19">
        <f>IF(K25=L$2,J25-K25,0)</f>
        <v>202518.60800000001</v>
      </c>
    </row>
    <row r="26" spans="1:12" x14ac:dyDescent="0.25">
      <c r="A26" s="15"/>
      <c r="B26" s="18"/>
      <c r="C26" s="18"/>
      <c r="D26" s="19"/>
      <c r="E26" s="20"/>
      <c r="F26" s="20"/>
      <c r="G26" s="20"/>
      <c r="H26" s="22"/>
      <c r="I26" s="22"/>
      <c r="J26" s="19"/>
      <c r="K26" s="19"/>
      <c r="L26" s="19"/>
    </row>
    <row r="27" spans="1:12" x14ac:dyDescent="0.25">
      <c r="A27" s="15" t="s">
        <v>31</v>
      </c>
      <c r="B27" s="18" t="s">
        <v>5</v>
      </c>
      <c r="C27" s="18"/>
      <c r="D27" s="19">
        <v>50200</v>
      </c>
      <c r="E27" s="20">
        <f>+D27</f>
        <v>50200</v>
      </c>
      <c r="F27" s="20"/>
      <c r="G27" s="20"/>
      <c r="H27" s="22"/>
      <c r="I27" s="22"/>
      <c r="J27" s="19"/>
      <c r="K27" s="19"/>
      <c r="L27" s="19"/>
    </row>
    <row r="28" spans="1:12" x14ac:dyDescent="0.25">
      <c r="A28" s="15" t="s">
        <v>31</v>
      </c>
      <c r="B28" s="18" t="s">
        <v>6</v>
      </c>
      <c r="C28" s="18"/>
      <c r="D28" s="19">
        <v>288326</v>
      </c>
      <c r="E28" s="20"/>
      <c r="F28" s="20">
        <f>+D28</f>
        <v>288326</v>
      </c>
      <c r="G28" s="20"/>
      <c r="H28" s="22"/>
      <c r="I28" s="22"/>
      <c r="K28" s="19"/>
      <c r="L28" s="19"/>
    </row>
    <row r="29" spans="1:12" x14ac:dyDescent="0.25">
      <c r="A29" s="15" t="s">
        <v>31</v>
      </c>
      <c r="B29" s="18" t="s">
        <v>7</v>
      </c>
      <c r="C29" s="18"/>
      <c r="D29" s="19">
        <v>340000</v>
      </c>
      <c r="E29" s="20"/>
      <c r="F29" s="20"/>
      <c r="G29" s="20">
        <f>+D29</f>
        <v>340000</v>
      </c>
      <c r="H29" s="22"/>
      <c r="I29" s="22"/>
      <c r="K29" s="19"/>
      <c r="L29" s="19"/>
    </row>
    <row r="30" spans="1:12" x14ac:dyDescent="0.25">
      <c r="A30" s="15" t="s">
        <v>31</v>
      </c>
      <c r="B30" s="18" t="s">
        <v>37</v>
      </c>
      <c r="D30" s="19">
        <v>204000</v>
      </c>
      <c r="H30" s="22">
        <f>+D30</f>
        <v>204000</v>
      </c>
      <c r="I30" s="22"/>
      <c r="J30" s="19"/>
      <c r="K30" s="19"/>
      <c r="L30" s="19"/>
    </row>
    <row r="31" spans="1:12" x14ac:dyDescent="0.25">
      <c r="A31" s="15" t="s">
        <v>31</v>
      </c>
      <c r="B31" s="18" t="s">
        <v>41</v>
      </c>
      <c r="D31" s="19">
        <v>100000</v>
      </c>
      <c r="H31" s="22"/>
      <c r="I31" s="22">
        <f>+D31</f>
        <v>100000</v>
      </c>
      <c r="J31" s="19">
        <f>SUM(E27:I31)</f>
        <v>982526</v>
      </c>
      <c r="K31" s="19">
        <f>IF(J31&gt;L$2,L$2,J31)</f>
        <v>257481.39199999999</v>
      </c>
      <c r="L31" s="19">
        <f>IF(K31=L$2,J31-K31,0)</f>
        <v>725044.60800000001</v>
      </c>
    </row>
    <row r="32" spans="1:12" x14ac:dyDescent="0.25">
      <c r="A32" s="15"/>
      <c r="B32" s="18"/>
      <c r="C32" s="18"/>
      <c r="D32" s="19"/>
      <c r="E32" s="20"/>
      <c r="F32" s="20"/>
      <c r="G32" s="20"/>
      <c r="H32" s="22"/>
      <c r="I32" s="22"/>
      <c r="J32" s="19"/>
      <c r="K32" s="19"/>
      <c r="L32" s="19"/>
    </row>
    <row r="33" spans="1:12" x14ac:dyDescent="0.25">
      <c r="A33" s="15" t="s">
        <v>32</v>
      </c>
      <c r="B33" s="18" t="s">
        <v>5</v>
      </c>
      <c r="C33" s="18"/>
      <c r="D33" s="19">
        <v>403612.07</v>
      </c>
      <c r="E33" s="20">
        <f>+D33</f>
        <v>403612.07</v>
      </c>
      <c r="F33" s="20"/>
      <c r="G33" s="20"/>
      <c r="H33" s="22"/>
      <c r="I33" s="22"/>
      <c r="K33" s="19"/>
      <c r="L33" s="19"/>
    </row>
    <row r="34" spans="1:12" x14ac:dyDescent="0.25">
      <c r="A34" s="15"/>
      <c r="B34" s="18"/>
      <c r="C34" s="18"/>
      <c r="D34" s="19"/>
      <c r="E34" s="20"/>
      <c r="F34" s="20"/>
      <c r="G34" s="20"/>
      <c r="H34" s="22"/>
      <c r="I34" s="22"/>
      <c r="J34" s="19">
        <f>SUM(E33:H34)</f>
        <v>403612.07</v>
      </c>
      <c r="K34" s="19">
        <f>IF(J34&gt;L$2,L$2,J34)</f>
        <v>257481.39199999999</v>
      </c>
      <c r="L34" s="19">
        <f>IF(K34=L$2,J34-K34,0)</f>
        <v>146130.67800000001</v>
      </c>
    </row>
    <row r="35" spans="1:12" x14ac:dyDescent="0.25">
      <c r="A35" s="15"/>
      <c r="B35" s="18"/>
      <c r="C35" s="18"/>
      <c r="D35" s="19"/>
      <c r="E35" s="20"/>
      <c r="F35" s="20"/>
      <c r="G35" s="20"/>
      <c r="H35" s="22"/>
      <c r="I35" s="22"/>
      <c r="J35" s="19"/>
      <c r="K35" s="19"/>
      <c r="L35" s="19"/>
    </row>
    <row r="36" spans="1:12" x14ac:dyDescent="0.25">
      <c r="A36" s="15" t="s">
        <v>34</v>
      </c>
      <c r="B36" s="18" t="s">
        <v>5</v>
      </c>
      <c r="C36" s="18"/>
      <c r="D36" s="19">
        <v>11925</v>
      </c>
      <c r="E36" s="19">
        <f>+D36</f>
        <v>11925</v>
      </c>
      <c r="F36" s="19"/>
      <c r="G36" s="19"/>
      <c r="H36" s="32"/>
      <c r="I36" s="32"/>
      <c r="J36" s="19"/>
      <c r="K36" s="19"/>
      <c r="L36" s="19"/>
    </row>
    <row r="37" spans="1:12" x14ac:dyDescent="0.25">
      <c r="A37" s="15" t="s">
        <v>34</v>
      </c>
      <c r="B37" s="18" t="s">
        <v>6</v>
      </c>
      <c r="C37" s="18"/>
      <c r="D37" s="19">
        <v>24000</v>
      </c>
      <c r="E37" s="19"/>
      <c r="F37" s="19">
        <f>+D37</f>
        <v>24000</v>
      </c>
      <c r="G37" s="19"/>
      <c r="H37" s="32"/>
      <c r="I37" s="32"/>
    </row>
    <row r="38" spans="1:12" x14ac:dyDescent="0.25">
      <c r="A38" s="15" t="s">
        <v>34</v>
      </c>
      <c r="B38" s="18" t="s">
        <v>7</v>
      </c>
      <c r="C38" s="18"/>
      <c r="D38" s="19">
        <v>0</v>
      </c>
      <c r="E38" s="19"/>
      <c r="F38" s="19"/>
      <c r="G38" s="19">
        <f>+D38</f>
        <v>0</v>
      </c>
      <c r="H38" s="32"/>
      <c r="I38" s="32"/>
    </row>
    <row r="39" spans="1:12" x14ac:dyDescent="0.25">
      <c r="A39" s="15" t="s">
        <v>34</v>
      </c>
      <c r="B39" s="18" t="s">
        <v>37</v>
      </c>
      <c r="C39" s="18"/>
      <c r="D39" s="19">
        <v>165851</v>
      </c>
      <c r="E39" s="19"/>
      <c r="F39" s="19"/>
      <c r="G39" s="19"/>
      <c r="H39" s="32">
        <f>+D39</f>
        <v>165851</v>
      </c>
      <c r="I39" s="32"/>
      <c r="J39" s="19"/>
      <c r="K39" s="19"/>
      <c r="L39" s="19"/>
    </row>
    <row r="40" spans="1:12" x14ac:dyDescent="0.25">
      <c r="A40" s="15" t="s">
        <v>34</v>
      </c>
      <c r="B40" s="18" t="s">
        <v>41</v>
      </c>
      <c r="C40" s="18"/>
      <c r="D40" s="19">
        <v>260000</v>
      </c>
      <c r="E40" s="19"/>
      <c r="F40" s="19"/>
      <c r="G40" s="19"/>
      <c r="H40" s="32"/>
      <c r="I40" s="32">
        <f>+D40</f>
        <v>260000</v>
      </c>
      <c r="J40" s="19">
        <f>SUM(E36:I40)</f>
        <v>461776</v>
      </c>
      <c r="K40" s="19">
        <f>IF(J40&gt;L$2,L$2,J40)</f>
        <v>257481.39199999999</v>
      </c>
      <c r="L40" s="19">
        <f>IF(K40=L$2,J40-K40,0)</f>
        <v>204294.60800000001</v>
      </c>
    </row>
    <row r="41" spans="1:12" x14ac:dyDescent="0.25">
      <c r="A41" s="15"/>
      <c r="B41" s="18"/>
      <c r="C41" s="18"/>
      <c r="D41" s="19"/>
      <c r="E41" s="19"/>
      <c r="F41" s="19"/>
      <c r="G41" s="19"/>
      <c r="H41" s="32"/>
      <c r="I41" s="32"/>
      <c r="J41" s="19"/>
      <c r="K41" s="19"/>
      <c r="L41" s="19"/>
    </row>
    <row r="42" spans="1:12" x14ac:dyDescent="0.25">
      <c r="A42" s="15" t="s">
        <v>43</v>
      </c>
      <c r="B42" s="18" t="s">
        <v>41</v>
      </c>
      <c r="C42" s="18"/>
      <c r="D42" s="19">
        <v>350000</v>
      </c>
      <c r="E42" s="19"/>
      <c r="F42" s="19"/>
      <c r="G42" s="19"/>
      <c r="H42" s="32"/>
      <c r="I42" s="32">
        <v>350000</v>
      </c>
      <c r="J42" s="19">
        <f>SUM(E42:I42)</f>
        <v>350000</v>
      </c>
      <c r="K42" s="19">
        <f>IF(J42&gt;L$2,L$2,J42)</f>
        <v>257481.39199999999</v>
      </c>
      <c r="L42" s="19">
        <f>IF(K42=L$2,J42-K42,0)</f>
        <v>92518.608000000007</v>
      </c>
    </row>
    <row r="43" spans="1:12" x14ac:dyDescent="0.25">
      <c r="A43" s="15"/>
      <c r="B43" s="18"/>
      <c r="C43" s="18"/>
      <c r="D43" s="19"/>
      <c r="E43" s="19"/>
      <c r="F43" s="19"/>
      <c r="G43" s="19"/>
      <c r="H43" s="32"/>
      <c r="I43" s="32"/>
      <c r="J43" s="19"/>
      <c r="K43" s="19"/>
      <c r="L43" s="19"/>
    </row>
    <row r="44" spans="1:12" x14ac:dyDescent="0.25">
      <c r="A44" s="15"/>
      <c r="B44" s="18"/>
      <c r="C44" s="18"/>
      <c r="D44" s="19"/>
      <c r="E44" s="19"/>
      <c r="F44" s="19"/>
      <c r="G44" s="19"/>
      <c r="H44" s="32"/>
      <c r="I44" s="32"/>
      <c r="J44" s="19"/>
      <c r="K44" s="19"/>
      <c r="L44" s="19"/>
    </row>
    <row r="45" spans="1:12" x14ac:dyDescent="0.25">
      <c r="A45" s="15" t="s">
        <v>35</v>
      </c>
      <c r="B45" s="18" t="s">
        <v>6</v>
      </c>
      <c r="C45" s="18"/>
      <c r="D45" s="19">
        <v>22500</v>
      </c>
      <c r="E45" s="19"/>
      <c r="F45" s="19">
        <f>+D45</f>
        <v>22500</v>
      </c>
      <c r="G45" s="19"/>
      <c r="H45" s="32"/>
      <c r="I45" s="32"/>
      <c r="J45" s="19"/>
      <c r="K45" s="19"/>
      <c r="L45" s="19"/>
    </row>
    <row r="46" spans="1:12" x14ac:dyDescent="0.25">
      <c r="A46" s="15" t="s">
        <v>35</v>
      </c>
      <c r="B46" s="18" t="s">
        <v>7</v>
      </c>
      <c r="C46" s="18"/>
      <c r="D46" s="19">
        <v>175000</v>
      </c>
      <c r="E46" s="19"/>
      <c r="F46" s="19"/>
      <c r="G46" s="19">
        <f>+D46</f>
        <v>175000</v>
      </c>
      <c r="H46" s="32"/>
      <c r="I46" s="32"/>
      <c r="J46" s="19">
        <f>SUM(E45:H46)</f>
        <v>197500</v>
      </c>
      <c r="K46" s="19">
        <f>IF(J46&gt;L$2,L$2,J46)</f>
        <v>197500</v>
      </c>
      <c r="L46" s="19">
        <f>IF(K46=L$2,J46-K46,0)</f>
        <v>0</v>
      </c>
    </row>
    <row r="47" spans="1:12" x14ac:dyDescent="0.25">
      <c r="A47" s="15"/>
      <c r="B47" s="18"/>
      <c r="C47" s="18"/>
      <c r="D47" s="19"/>
      <c r="E47" s="19"/>
      <c r="F47" s="19"/>
      <c r="G47" s="19"/>
      <c r="H47" s="32"/>
      <c r="I47" s="32"/>
      <c r="J47" s="19"/>
      <c r="K47" s="19"/>
      <c r="L47" s="19"/>
    </row>
    <row r="48" spans="1:12" x14ac:dyDescent="0.25">
      <c r="A48" s="16"/>
      <c r="B48" s="18"/>
      <c r="C48" s="18"/>
      <c r="D48" s="27"/>
      <c r="E48" s="27"/>
      <c r="F48" s="27"/>
      <c r="G48" s="27"/>
      <c r="H48" s="33"/>
      <c r="I48" s="33"/>
      <c r="J48" s="27"/>
      <c r="K48" s="27"/>
      <c r="L48" s="27"/>
    </row>
    <row r="49" spans="1:12" x14ac:dyDescent="0.25">
      <c r="A49" s="16"/>
      <c r="B49" s="18"/>
      <c r="C49" s="18"/>
      <c r="D49" s="19">
        <f t="shared" ref="D49:L49" si="0">SUM(D4:D48)</f>
        <v>7411336.4199999999</v>
      </c>
      <c r="E49" s="19">
        <f t="shared" si="0"/>
        <v>1717704.07</v>
      </c>
      <c r="F49" s="19">
        <f t="shared" si="0"/>
        <v>1678883.85</v>
      </c>
      <c r="G49" s="19">
        <f t="shared" si="0"/>
        <v>1328973.75</v>
      </c>
      <c r="H49" s="32">
        <f t="shared" si="0"/>
        <v>1102505</v>
      </c>
      <c r="I49" s="32">
        <f t="shared" si="0"/>
        <v>1583244</v>
      </c>
      <c r="J49" s="19">
        <f t="shared" si="0"/>
        <v>7411310.6699999999</v>
      </c>
      <c r="K49" s="19">
        <f t="shared" si="0"/>
        <v>2257351.1359999999</v>
      </c>
      <c r="L49" s="19">
        <f t="shared" si="0"/>
        <v>5153959.5340000009</v>
      </c>
    </row>
    <row r="52" spans="1:12" x14ac:dyDescent="0.25">
      <c r="A52" t="s">
        <v>44</v>
      </c>
    </row>
    <row r="53" spans="1:12" x14ac:dyDescent="0.25">
      <c r="A53" t="s">
        <v>45</v>
      </c>
      <c r="B53" s="45">
        <f>+'FY15 excess gifts with Given'!J47</f>
        <v>7187687.6699999999</v>
      </c>
    </row>
    <row r="54" spans="1:12" x14ac:dyDescent="0.25">
      <c r="A54" t="s">
        <v>46</v>
      </c>
      <c r="B54" s="45">
        <f>-'FY15 excess gifts with Given'!E47</f>
        <v>-1359621</v>
      </c>
    </row>
    <row r="55" spans="1:12" x14ac:dyDescent="0.25">
      <c r="A55" t="s">
        <v>47</v>
      </c>
      <c r="B55" s="77">
        <f>+I49</f>
        <v>1583244</v>
      </c>
    </row>
    <row r="56" spans="1:12" x14ac:dyDescent="0.25">
      <c r="B56" s="45">
        <f>SUM(B53:B55)</f>
        <v>7411310.6699999999</v>
      </c>
    </row>
    <row r="57" spans="1:12" x14ac:dyDescent="0.25">
      <c r="B57" s="45">
        <f>+B56-J49</f>
        <v>0</v>
      </c>
    </row>
  </sheetData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B3" sqref="B3"/>
    </sheetView>
  </sheetViews>
  <sheetFormatPr defaultRowHeight="15" x14ac:dyDescent="0.25"/>
  <cols>
    <col min="1" max="1" width="19.5703125" bestFit="1" customWidth="1"/>
    <col min="2" max="2" width="13.7109375" customWidth="1"/>
    <col min="3" max="5" width="13.42578125" bestFit="1" customWidth="1"/>
    <col min="6" max="6" width="13.42578125" customWidth="1"/>
    <col min="7" max="7" width="14" bestFit="1" customWidth="1"/>
    <col min="8" max="8" width="25.7109375" customWidth="1"/>
  </cols>
  <sheetData>
    <row r="1" spans="1:8" ht="15.75" x14ac:dyDescent="0.25">
      <c r="A1" s="1"/>
      <c r="B1" s="2" t="s">
        <v>0</v>
      </c>
      <c r="C1" s="1"/>
      <c r="D1" s="1"/>
      <c r="E1" s="38"/>
      <c r="F1" s="38"/>
      <c r="G1" s="1"/>
    </row>
    <row r="2" spans="1:8" ht="15.75" x14ac:dyDescent="0.25">
      <c r="A2" s="1"/>
      <c r="B2" s="3" t="s">
        <v>48</v>
      </c>
      <c r="C2" s="1"/>
      <c r="D2" s="1"/>
      <c r="E2" s="38"/>
      <c r="F2" s="38"/>
      <c r="G2" s="1"/>
    </row>
    <row r="3" spans="1:8" x14ac:dyDescent="0.25">
      <c r="A3" s="1"/>
      <c r="B3" s="1"/>
      <c r="C3" s="1"/>
      <c r="D3" s="1"/>
      <c r="E3" s="38"/>
      <c r="F3" s="38"/>
      <c r="G3" s="1"/>
    </row>
    <row r="4" spans="1:8" x14ac:dyDescent="0.25">
      <c r="A4" s="1"/>
      <c r="B4" s="4">
        <v>2012</v>
      </c>
      <c r="C4" s="4">
        <v>2013</v>
      </c>
      <c r="D4" s="4">
        <v>2014</v>
      </c>
      <c r="E4" s="50">
        <v>2015</v>
      </c>
      <c r="F4" s="50">
        <v>2016</v>
      </c>
      <c r="G4" s="4" t="s">
        <v>2</v>
      </c>
    </row>
    <row r="5" spans="1:8" x14ac:dyDescent="0.25">
      <c r="A5" s="1"/>
      <c r="B5" s="4" t="s">
        <v>6</v>
      </c>
      <c r="C5" s="4" t="s">
        <v>7</v>
      </c>
      <c r="D5" s="4" t="s">
        <v>37</v>
      </c>
      <c r="E5" s="50" t="s">
        <v>41</v>
      </c>
      <c r="F5" s="50" t="s">
        <v>49</v>
      </c>
      <c r="G5" s="1"/>
    </row>
    <row r="6" spans="1:8" x14ac:dyDescent="0.25">
      <c r="A6" s="1"/>
      <c r="B6" s="1"/>
      <c r="C6" s="1"/>
      <c r="D6" s="1"/>
      <c r="E6" s="51"/>
      <c r="F6" s="51"/>
      <c r="G6" s="1"/>
    </row>
    <row r="7" spans="1:8" x14ac:dyDescent="0.25">
      <c r="A7" s="1" t="s">
        <v>8</v>
      </c>
      <c r="B7" s="34">
        <v>2327825.85</v>
      </c>
      <c r="C7" s="34">
        <v>1529495.75</v>
      </c>
      <c r="D7" s="36">
        <v>1640170</v>
      </c>
      <c r="E7" s="52">
        <f>+'FY16 sched A'!F7</f>
        <v>2083086</v>
      </c>
      <c r="F7" s="52">
        <v>1858634</v>
      </c>
      <c r="G7" s="6">
        <f>SUM(B7:F7)</f>
        <v>9439211.5999999996</v>
      </c>
      <c r="H7" s="53"/>
    </row>
    <row r="8" spans="1:8" x14ac:dyDescent="0.25">
      <c r="A8" s="1"/>
      <c r="B8" s="5"/>
      <c r="C8" s="6"/>
      <c r="D8" s="28"/>
      <c r="E8" s="28"/>
      <c r="F8" s="28"/>
      <c r="G8" s="5"/>
    </row>
    <row r="9" spans="1:8" x14ac:dyDescent="0.25">
      <c r="A9" s="1" t="s">
        <v>9</v>
      </c>
      <c r="B9" s="5"/>
      <c r="C9" s="6"/>
      <c r="D9" s="28"/>
      <c r="E9" s="28"/>
      <c r="F9" s="28"/>
      <c r="G9" s="43">
        <f>+'FY17 excess gifts'!L45</f>
        <v>4784092</v>
      </c>
    </row>
    <row r="10" spans="1:8" x14ac:dyDescent="0.25">
      <c r="A10" s="1"/>
      <c r="B10" s="5"/>
      <c r="C10" s="6"/>
      <c r="D10" s="28"/>
      <c r="E10" s="28"/>
      <c r="F10" s="28"/>
      <c r="G10" s="5"/>
    </row>
    <row r="11" spans="1:8" x14ac:dyDescent="0.25">
      <c r="A11" s="1" t="s">
        <v>10</v>
      </c>
      <c r="B11" s="5"/>
      <c r="C11" s="6"/>
      <c r="D11" s="28"/>
      <c r="E11" s="28"/>
      <c r="F11" s="28"/>
      <c r="G11" s="7">
        <f>+G7-G9</f>
        <v>4655119.5999999996</v>
      </c>
    </row>
    <row r="12" spans="1:8" x14ac:dyDescent="0.25">
      <c r="A12" s="1"/>
      <c r="B12" s="5"/>
      <c r="C12" s="5"/>
      <c r="D12" s="29"/>
      <c r="E12" s="29"/>
      <c r="F12" s="29"/>
      <c r="G12" s="5"/>
    </row>
    <row r="13" spans="1:8" x14ac:dyDescent="0.25">
      <c r="A13" s="1" t="s">
        <v>11</v>
      </c>
      <c r="B13" s="5">
        <f t="shared" ref="B13:D13" si="0">+B7</f>
        <v>2327825.85</v>
      </c>
      <c r="C13" s="5">
        <f t="shared" si="0"/>
        <v>1529495.75</v>
      </c>
      <c r="D13" s="29">
        <f t="shared" si="0"/>
        <v>1640170</v>
      </c>
      <c r="E13" s="28">
        <f>+E7</f>
        <v>2083086</v>
      </c>
      <c r="F13" s="28">
        <f>+F7</f>
        <v>1858634</v>
      </c>
      <c r="G13" s="5">
        <f>SUM(B13:F13)</f>
        <v>9439211.5999999996</v>
      </c>
    </row>
    <row r="14" spans="1:8" x14ac:dyDescent="0.25">
      <c r="A14" s="1"/>
      <c r="B14" s="5"/>
      <c r="C14" s="5"/>
      <c r="D14" s="29"/>
      <c r="E14" s="29"/>
      <c r="F14" s="29"/>
      <c r="G14" s="5"/>
    </row>
    <row r="15" spans="1:8" x14ac:dyDescent="0.25">
      <c r="A15" s="1" t="s">
        <v>12</v>
      </c>
      <c r="B15" s="5">
        <v>725019</v>
      </c>
      <c r="C15" s="5">
        <v>454140</v>
      </c>
      <c r="D15" s="29">
        <v>501147</v>
      </c>
      <c r="E15" s="29">
        <f>+'FY16 sched A'!F15</f>
        <v>442593</v>
      </c>
      <c r="F15" s="29">
        <v>568444</v>
      </c>
      <c r="G15" s="8">
        <f>SUM(B15:F15)</f>
        <v>2691343</v>
      </c>
    </row>
    <row r="16" spans="1:8" x14ac:dyDescent="0.25">
      <c r="A16" s="1"/>
      <c r="B16" s="5"/>
      <c r="C16" s="5"/>
      <c r="D16" s="5"/>
      <c r="E16" s="41"/>
      <c r="F16" s="41"/>
      <c r="G16" s="5"/>
    </row>
    <row r="17" spans="1:7" x14ac:dyDescent="0.25">
      <c r="A17" s="1" t="s">
        <v>13</v>
      </c>
      <c r="B17" s="5"/>
      <c r="C17" s="5"/>
      <c r="D17" s="5"/>
      <c r="E17" s="41"/>
      <c r="F17" s="41"/>
      <c r="G17" s="9">
        <f>SUM(B13:F15)</f>
        <v>12130554.6</v>
      </c>
    </row>
    <row r="18" spans="1:7" x14ac:dyDescent="0.25">
      <c r="A18" s="1" t="s">
        <v>15</v>
      </c>
      <c r="B18" s="5"/>
      <c r="C18" s="5"/>
      <c r="D18" s="5"/>
      <c r="E18" s="41"/>
      <c r="F18" s="41"/>
      <c r="G18" s="5">
        <f>+G17*0.02</f>
        <v>242611.092</v>
      </c>
    </row>
    <row r="19" spans="1:7" x14ac:dyDescent="0.25">
      <c r="A19" s="1"/>
      <c r="B19" s="5"/>
      <c r="C19" s="5"/>
      <c r="D19" s="5"/>
      <c r="E19" s="41"/>
      <c r="F19" s="41"/>
      <c r="G19" s="5"/>
    </row>
    <row r="20" spans="1:7" x14ac:dyDescent="0.25">
      <c r="A20" s="1" t="s">
        <v>16</v>
      </c>
      <c r="B20" s="5"/>
      <c r="C20" s="5"/>
      <c r="D20" s="5"/>
      <c r="E20" s="41"/>
      <c r="F20" s="41"/>
      <c r="G20" s="64">
        <f>+G11/G17</f>
        <v>0.38375158873609949</v>
      </c>
    </row>
    <row r="21" spans="1:7" x14ac:dyDescent="0.25">
      <c r="A21" s="1"/>
      <c r="D21" s="5"/>
      <c r="E21" s="41"/>
      <c r="F21" s="41"/>
      <c r="G21" s="5"/>
    </row>
    <row r="22" spans="1:7" x14ac:dyDescent="0.25">
      <c r="A22" s="1"/>
      <c r="B22" t="s">
        <v>50</v>
      </c>
      <c r="C22" s="44">
        <f>+'FY16 sched A'!G20</f>
        <v>0.39761149543575552</v>
      </c>
      <c r="D22" s="11"/>
      <c r="E22" s="42"/>
      <c r="F22" s="42"/>
      <c r="G22" s="5"/>
    </row>
    <row r="23" spans="1:7" x14ac:dyDescent="0.25">
      <c r="A23" s="1"/>
      <c r="B23" t="s">
        <v>42</v>
      </c>
      <c r="C23" s="44">
        <v>0.39350000000000002</v>
      </c>
      <c r="D23" s="5"/>
      <c r="E23" s="41"/>
      <c r="F23" s="41"/>
      <c r="G23" s="5"/>
    </row>
    <row r="24" spans="1:7" x14ac:dyDescent="0.25">
      <c r="B24" s="5" t="s">
        <v>39</v>
      </c>
      <c r="C24" s="11">
        <v>0.39360000000000001</v>
      </c>
      <c r="E24" s="37"/>
      <c r="F24" s="37"/>
    </row>
    <row r="25" spans="1:7" x14ac:dyDescent="0.25">
      <c r="B25" s="5" t="s">
        <v>17</v>
      </c>
      <c r="C25" s="11">
        <v>0.39019999999999999</v>
      </c>
      <c r="E25" s="37"/>
      <c r="F25" s="37"/>
    </row>
  </sheetData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workbookViewId="0">
      <selection activeCell="L14" sqref="L14"/>
    </sheetView>
  </sheetViews>
  <sheetFormatPr defaultRowHeight="15" x14ac:dyDescent="0.25"/>
  <cols>
    <col min="1" max="1" width="28.42578125" bestFit="1" customWidth="1"/>
    <col min="2" max="2" width="14.28515625" bestFit="1" customWidth="1"/>
    <col min="3" max="3" width="2.5703125" customWidth="1"/>
    <col min="4" max="5" width="13.5703125" bestFit="1" customWidth="1"/>
    <col min="6" max="6" width="14.28515625" bestFit="1" customWidth="1"/>
    <col min="7" max="8" width="13.5703125" bestFit="1" customWidth="1"/>
    <col min="9" max="9" width="13.5703125" customWidth="1"/>
    <col min="10" max="10" width="20.140625" bestFit="1" customWidth="1"/>
    <col min="11" max="12" width="13.5703125" bestFit="1" customWidth="1"/>
  </cols>
  <sheetData>
    <row r="1" spans="1:12" x14ac:dyDescent="0.25">
      <c r="A1" s="12"/>
      <c r="B1" s="12"/>
      <c r="C1" s="12"/>
      <c r="D1" s="13"/>
      <c r="E1" s="12"/>
      <c r="F1" s="12"/>
      <c r="G1" s="30"/>
      <c r="H1" s="30"/>
      <c r="I1" s="30"/>
      <c r="J1" s="12"/>
      <c r="K1" s="14"/>
      <c r="L1" s="12"/>
    </row>
    <row r="2" spans="1:12" x14ac:dyDescent="0.25">
      <c r="A2" s="15" t="s">
        <v>18</v>
      </c>
      <c r="B2" s="15" t="s">
        <v>19</v>
      </c>
      <c r="C2" s="15"/>
      <c r="D2" s="15" t="s">
        <v>20</v>
      </c>
      <c r="E2" s="16" t="s">
        <v>24</v>
      </c>
      <c r="F2" s="16" t="s">
        <v>7</v>
      </c>
      <c r="G2" s="31" t="s">
        <v>37</v>
      </c>
      <c r="H2" s="16" t="s">
        <v>41</v>
      </c>
      <c r="I2" s="16" t="s">
        <v>49</v>
      </c>
      <c r="J2" s="15" t="s">
        <v>25</v>
      </c>
      <c r="K2" s="12" t="s">
        <v>26</v>
      </c>
      <c r="L2" s="17">
        <f>12130555*0.02</f>
        <v>242611.1</v>
      </c>
    </row>
    <row r="3" spans="1:12" x14ac:dyDescent="0.25">
      <c r="A3" s="15"/>
      <c r="B3" s="18"/>
      <c r="C3" s="18"/>
      <c r="D3" s="19"/>
      <c r="E3" s="15"/>
      <c r="F3" s="15"/>
      <c r="G3" s="24"/>
      <c r="H3" s="24"/>
      <c r="I3" s="24"/>
      <c r="J3" s="19"/>
      <c r="K3" s="19"/>
      <c r="L3" s="19"/>
    </row>
    <row r="4" spans="1:12" x14ac:dyDescent="0.25">
      <c r="A4" s="15" t="s">
        <v>27</v>
      </c>
      <c r="B4" s="18" t="s">
        <v>6</v>
      </c>
      <c r="C4" s="18"/>
      <c r="D4" s="19">
        <f>+'FY16 excess gifts'!D5</f>
        <v>782167</v>
      </c>
      <c r="E4" s="20">
        <f>+D4</f>
        <v>782167</v>
      </c>
      <c r="F4" s="20"/>
      <c r="G4" s="22"/>
      <c r="H4" s="22"/>
      <c r="I4" s="22"/>
      <c r="K4" s="19"/>
      <c r="L4" s="19"/>
    </row>
    <row r="5" spans="1:12" x14ac:dyDescent="0.25">
      <c r="A5" s="15" t="s">
        <v>27</v>
      </c>
      <c r="B5" s="18" t="s">
        <v>7</v>
      </c>
      <c r="C5" s="18"/>
      <c r="D5" s="19">
        <f>+'FY16 excess gifts'!D6</f>
        <v>691698</v>
      </c>
      <c r="E5" s="20"/>
      <c r="F5" s="20">
        <f>+D5</f>
        <v>691698</v>
      </c>
      <c r="G5" s="22"/>
      <c r="H5" s="22"/>
      <c r="I5" s="22"/>
      <c r="K5" s="19"/>
      <c r="L5" s="19"/>
    </row>
    <row r="6" spans="1:12" x14ac:dyDescent="0.25">
      <c r="A6" s="15" t="s">
        <v>27</v>
      </c>
      <c r="B6" s="18" t="s">
        <v>37</v>
      </c>
      <c r="D6" s="19">
        <f>+'FY16 excess gifts'!D7</f>
        <v>685404</v>
      </c>
      <c r="G6" s="22">
        <f>+D6</f>
        <v>685404</v>
      </c>
      <c r="H6" s="22"/>
      <c r="I6" s="22"/>
      <c r="J6" s="19"/>
      <c r="K6" s="19"/>
      <c r="L6" s="19"/>
    </row>
    <row r="7" spans="1:12" x14ac:dyDescent="0.25">
      <c r="A7" s="15" t="s">
        <v>27</v>
      </c>
      <c r="B7" s="18" t="s">
        <v>41</v>
      </c>
      <c r="D7" s="19">
        <f>+'FY16 excess gifts'!D8</f>
        <v>750994</v>
      </c>
      <c r="G7" s="22"/>
      <c r="H7" s="22">
        <f>+D7</f>
        <v>750994</v>
      </c>
      <c r="I7" s="22"/>
      <c r="J7" s="19"/>
      <c r="K7" s="19"/>
      <c r="L7" s="19"/>
    </row>
    <row r="8" spans="1:12" x14ac:dyDescent="0.25">
      <c r="A8" s="15" t="s">
        <v>27</v>
      </c>
      <c r="B8" s="18" t="s">
        <v>49</v>
      </c>
      <c r="D8" s="49">
        <v>580239</v>
      </c>
      <c r="G8" s="22"/>
      <c r="H8" s="22"/>
      <c r="I8" s="22">
        <f>+D8</f>
        <v>580239</v>
      </c>
      <c r="J8" s="70">
        <f>SUM(E4:I8)</f>
        <v>3490502</v>
      </c>
      <c r="K8" s="19">
        <f>IF(J8&gt;L$2,L$2,J8)</f>
        <v>242611.1</v>
      </c>
      <c r="L8" s="19">
        <f>IF(K8=L$2,J8-K8,0)</f>
        <v>3247890.9</v>
      </c>
    </row>
    <row r="9" spans="1:12" x14ac:dyDescent="0.25">
      <c r="A9" s="23"/>
      <c r="B9" s="18"/>
      <c r="C9" s="18"/>
      <c r="D9" s="19"/>
      <c r="E9" s="20"/>
      <c r="F9" s="20"/>
      <c r="G9" s="22"/>
      <c r="H9" s="22"/>
      <c r="I9" s="22"/>
      <c r="J9" s="19"/>
      <c r="K9" s="19"/>
      <c r="L9" s="19"/>
    </row>
    <row r="10" spans="1:12" x14ac:dyDescent="0.25">
      <c r="A10" s="15" t="s">
        <v>28</v>
      </c>
      <c r="B10" s="18" t="s">
        <v>6</v>
      </c>
      <c r="C10" s="18"/>
      <c r="D10" s="19">
        <f>+'FY16 excess gifts'!D10</f>
        <v>336890.85</v>
      </c>
      <c r="E10" s="20">
        <f>+D10</f>
        <v>336890.85</v>
      </c>
      <c r="F10" s="20"/>
      <c r="G10" s="22"/>
      <c r="H10" s="22"/>
      <c r="I10" s="22"/>
      <c r="K10" s="19"/>
      <c r="L10" s="19"/>
    </row>
    <row r="11" spans="1:12" x14ac:dyDescent="0.25">
      <c r="A11" s="15" t="s">
        <v>28</v>
      </c>
      <c r="B11" s="18" t="s">
        <v>7</v>
      </c>
      <c r="C11" s="18"/>
      <c r="D11" s="19">
        <f>+'FY16 excess gifts'!D11</f>
        <v>2275.75</v>
      </c>
      <c r="E11" s="20"/>
      <c r="F11" s="20">
        <f>+D11</f>
        <v>2275.75</v>
      </c>
      <c r="G11" s="22"/>
      <c r="H11" s="22"/>
      <c r="I11" s="22"/>
      <c r="K11" s="19"/>
      <c r="L11" s="19"/>
    </row>
    <row r="12" spans="1:12" x14ac:dyDescent="0.25">
      <c r="A12" s="15" t="s">
        <v>28</v>
      </c>
      <c r="B12" s="18" t="s">
        <v>37</v>
      </c>
      <c r="D12" s="19">
        <f>+'FY16 excess gifts'!D12</f>
        <v>2275.75</v>
      </c>
      <c r="G12" s="22">
        <v>2250</v>
      </c>
      <c r="H12" s="22"/>
      <c r="I12" s="22"/>
      <c r="J12" s="19"/>
      <c r="K12" s="19"/>
      <c r="L12" s="19"/>
    </row>
    <row r="13" spans="1:12" x14ac:dyDescent="0.25">
      <c r="A13" s="15" t="s">
        <v>28</v>
      </c>
      <c r="B13" s="18" t="s">
        <v>41</v>
      </c>
      <c r="D13" s="19">
        <f>+'FY16 excess gifts'!D13</f>
        <v>2250</v>
      </c>
      <c r="G13" s="22"/>
      <c r="H13" s="22">
        <f>+D13</f>
        <v>2250</v>
      </c>
      <c r="I13" s="22"/>
      <c r="J13" s="19"/>
      <c r="K13" s="19"/>
      <c r="L13" s="19"/>
    </row>
    <row r="14" spans="1:12" x14ac:dyDescent="0.25">
      <c r="A14" s="15" t="s">
        <v>28</v>
      </c>
      <c r="B14" s="18" t="s">
        <v>49</v>
      </c>
      <c r="D14" s="19">
        <v>2250</v>
      </c>
      <c r="G14" s="22"/>
      <c r="H14" s="22"/>
      <c r="I14" s="22">
        <f>+D14</f>
        <v>2250</v>
      </c>
      <c r="J14" s="70">
        <f>SUM(E10:I14)</f>
        <v>345916.6</v>
      </c>
      <c r="K14" s="19">
        <f>IF(J14&gt;L$2,L$2,J14)</f>
        <v>242611.1</v>
      </c>
      <c r="L14" s="19">
        <f>IF(K14=L$2,J14-K14,0)</f>
        <v>103305.49999999997</v>
      </c>
    </row>
    <row r="15" spans="1:12" x14ac:dyDescent="0.25">
      <c r="A15" s="15"/>
      <c r="B15" s="18"/>
      <c r="C15" s="18"/>
      <c r="D15" s="19"/>
      <c r="E15" s="15"/>
      <c r="F15" s="15"/>
      <c r="G15" s="24"/>
      <c r="H15" s="24"/>
      <c r="I15" s="24"/>
      <c r="J15" s="19"/>
      <c r="K15" s="19"/>
      <c r="L15" s="19"/>
    </row>
    <row r="16" spans="1:12" x14ac:dyDescent="0.25">
      <c r="A16" s="15" t="s">
        <v>29</v>
      </c>
      <c r="B16" s="18" t="s">
        <v>6</v>
      </c>
      <c r="C16" s="18"/>
      <c r="D16" s="19">
        <f>+'FY16 excess gifts'!D16</f>
        <v>75000</v>
      </c>
      <c r="E16" s="20">
        <f>+D16</f>
        <v>75000</v>
      </c>
      <c r="F16" s="20"/>
      <c r="G16" s="22"/>
      <c r="H16" s="22"/>
      <c r="I16" s="22"/>
      <c r="K16" s="19"/>
      <c r="L16" s="19"/>
    </row>
    <row r="17" spans="1:12" x14ac:dyDescent="0.25">
      <c r="A17" s="15" t="s">
        <v>29</v>
      </c>
      <c r="B17" s="18" t="s">
        <v>7</v>
      </c>
      <c r="C17" s="18"/>
      <c r="D17" s="19">
        <f>+'FY16 excess gifts'!D17</f>
        <v>35000</v>
      </c>
      <c r="E17" s="20"/>
      <c r="F17" s="20">
        <f>+D17</f>
        <v>35000</v>
      </c>
      <c r="G17" s="22"/>
      <c r="H17" s="22"/>
      <c r="I17" s="22"/>
      <c r="K17" s="19"/>
      <c r="L17" s="19"/>
    </row>
    <row r="18" spans="1:12" x14ac:dyDescent="0.25">
      <c r="A18" s="15" t="s">
        <v>29</v>
      </c>
      <c r="B18" s="18" t="s">
        <v>37</v>
      </c>
      <c r="C18" s="18"/>
      <c r="D18" s="19">
        <f>+'FY16 excess gifts'!D18</f>
        <v>35000</v>
      </c>
      <c r="G18" s="22">
        <f>+D18</f>
        <v>35000</v>
      </c>
      <c r="H18" s="22"/>
      <c r="I18" s="22"/>
      <c r="J18" s="19"/>
      <c r="K18" s="19"/>
      <c r="L18" s="19"/>
    </row>
    <row r="19" spans="1:12" x14ac:dyDescent="0.25">
      <c r="A19" s="15" t="s">
        <v>29</v>
      </c>
      <c r="B19" s="18" t="s">
        <v>41</v>
      </c>
      <c r="C19" s="18"/>
      <c r="D19" s="19">
        <f>+'FY16 excess gifts'!D19</f>
        <v>85000</v>
      </c>
      <c r="G19" s="22"/>
      <c r="H19" s="22">
        <f>+D19</f>
        <v>85000</v>
      </c>
      <c r="I19" s="22"/>
      <c r="J19" s="19"/>
      <c r="K19" s="19"/>
      <c r="L19" s="19"/>
    </row>
    <row r="20" spans="1:12" x14ac:dyDescent="0.25">
      <c r="A20" s="15" t="s">
        <v>29</v>
      </c>
      <c r="B20" s="18" t="s">
        <v>49</v>
      </c>
      <c r="C20" s="18"/>
      <c r="D20" s="19">
        <v>86023</v>
      </c>
      <c r="G20" s="22"/>
      <c r="H20" s="22"/>
      <c r="I20" s="22">
        <f>+D20</f>
        <v>86023</v>
      </c>
      <c r="J20" s="70">
        <f>SUM(E16:I20)</f>
        <v>316023</v>
      </c>
      <c r="K20" s="19">
        <f>IF(J20&gt;L$2,L$2,J20)</f>
        <v>242611.1</v>
      </c>
      <c r="L20" s="19">
        <f>IF(K20=L$2,J20-K20,0)</f>
        <v>73411.899999999994</v>
      </c>
    </row>
    <row r="21" spans="1:12" x14ac:dyDescent="0.25">
      <c r="A21" s="15"/>
      <c r="B21" s="18"/>
      <c r="C21" s="18"/>
      <c r="D21" s="19"/>
      <c r="E21" s="20"/>
      <c r="F21" s="20"/>
      <c r="G21" s="22"/>
      <c r="H21" s="22"/>
      <c r="I21" s="22"/>
      <c r="J21" s="19"/>
      <c r="K21" s="19"/>
      <c r="L21" s="19"/>
    </row>
    <row r="22" spans="1:12" x14ac:dyDescent="0.25">
      <c r="A22" s="15" t="s">
        <v>30</v>
      </c>
      <c r="B22" s="18" t="s">
        <v>6</v>
      </c>
      <c r="C22" s="18"/>
      <c r="D22" s="19">
        <f>+'FY16 excess gifts'!D22</f>
        <v>150000</v>
      </c>
      <c r="E22" s="20">
        <f>+D22</f>
        <v>150000</v>
      </c>
      <c r="F22" s="20"/>
      <c r="G22" s="22"/>
      <c r="H22" s="22"/>
      <c r="I22" s="22"/>
      <c r="K22" s="19"/>
      <c r="L22" s="19"/>
    </row>
    <row r="23" spans="1:12" x14ac:dyDescent="0.25">
      <c r="A23" s="15" t="s">
        <v>30</v>
      </c>
      <c r="B23" s="18" t="s">
        <v>7</v>
      </c>
      <c r="C23" s="18"/>
      <c r="D23" s="19">
        <f>+'FY16 excess gifts'!D23</f>
        <v>85000</v>
      </c>
      <c r="E23" s="20"/>
      <c r="F23" s="20">
        <f>+D23</f>
        <v>85000</v>
      </c>
      <c r="G23" s="22"/>
      <c r="H23" s="22"/>
      <c r="I23" s="22"/>
      <c r="K23" s="19"/>
      <c r="L23" s="19"/>
    </row>
    <row r="24" spans="1:12" x14ac:dyDescent="0.25">
      <c r="A24" s="15" t="s">
        <v>30</v>
      </c>
      <c r="B24" s="18" t="s">
        <v>37</v>
      </c>
      <c r="D24" s="19">
        <f>+'FY16 excess gifts'!D24</f>
        <v>10000</v>
      </c>
      <c r="G24" s="22">
        <f>+D24</f>
        <v>10000</v>
      </c>
      <c r="H24" s="22"/>
      <c r="I24" s="22"/>
      <c r="J24" s="19"/>
      <c r="K24" s="19"/>
      <c r="L24" s="19"/>
    </row>
    <row r="25" spans="1:12" x14ac:dyDescent="0.25">
      <c r="A25" s="15" t="s">
        <v>30</v>
      </c>
      <c r="B25" s="18" t="s">
        <v>41</v>
      </c>
      <c r="D25" s="19">
        <f>+'FY16 excess gifts'!D25</f>
        <v>35000</v>
      </c>
      <c r="G25" s="22"/>
      <c r="H25" s="22">
        <f>+D25</f>
        <v>35000</v>
      </c>
      <c r="I25" s="22"/>
      <c r="J25" s="19"/>
      <c r="K25" s="19"/>
      <c r="L25" s="19"/>
    </row>
    <row r="26" spans="1:12" x14ac:dyDescent="0.25">
      <c r="A26" s="15" t="s">
        <v>30</v>
      </c>
      <c r="B26" s="18" t="s">
        <v>49</v>
      </c>
      <c r="D26" s="19">
        <v>25000</v>
      </c>
      <c r="G26" s="22"/>
      <c r="H26" s="22"/>
      <c r="I26" s="22">
        <f>+D26</f>
        <v>25000</v>
      </c>
      <c r="J26" s="70">
        <f>SUM(E22:I26)</f>
        <v>305000</v>
      </c>
      <c r="K26" s="19">
        <f>IF(J26&gt;L$2,L$2,J26)</f>
        <v>242611.1</v>
      </c>
      <c r="L26" s="19">
        <f>IF(K26=L$2,J26-K26,0)</f>
        <v>62388.899999999994</v>
      </c>
    </row>
    <row r="27" spans="1:12" x14ac:dyDescent="0.25">
      <c r="A27" s="15"/>
      <c r="B27" s="18"/>
      <c r="C27" s="18"/>
      <c r="D27" s="19"/>
      <c r="E27" s="20"/>
      <c r="F27" s="20"/>
      <c r="G27" s="22"/>
      <c r="H27" s="22"/>
      <c r="I27" s="22"/>
      <c r="J27" s="19"/>
      <c r="K27" s="19"/>
      <c r="L27" s="19"/>
    </row>
    <row r="28" spans="1:12" x14ac:dyDescent="0.25">
      <c r="A28" s="15" t="s">
        <v>31</v>
      </c>
      <c r="B28" s="18" t="s">
        <v>6</v>
      </c>
      <c r="C28" s="18"/>
      <c r="D28" s="19">
        <f>+'FY16 excess gifts'!D28</f>
        <v>288326</v>
      </c>
      <c r="E28" s="20">
        <f>+D28</f>
        <v>288326</v>
      </c>
      <c r="F28" s="20"/>
      <c r="G28" s="22"/>
      <c r="H28" s="22"/>
      <c r="I28" s="22"/>
      <c r="K28" s="19"/>
      <c r="L28" s="19"/>
    </row>
    <row r="29" spans="1:12" x14ac:dyDescent="0.25">
      <c r="A29" s="15" t="s">
        <v>31</v>
      </c>
      <c r="B29" s="18" t="s">
        <v>7</v>
      </c>
      <c r="C29" s="18"/>
      <c r="D29" s="19">
        <f>+'FY16 excess gifts'!D29</f>
        <v>340000</v>
      </c>
      <c r="E29" s="20"/>
      <c r="F29" s="20">
        <f>+D29</f>
        <v>340000</v>
      </c>
      <c r="G29" s="22"/>
      <c r="H29" s="22"/>
      <c r="I29" s="22"/>
      <c r="K29" s="19"/>
      <c r="L29" s="19"/>
    </row>
    <row r="30" spans="1:12" x14ac:dyDescent="0.25">
      <c r="A30" s="15" t="s">
        <v>31</v>
      </c>
      <c r="B30" s="18" t="s">
        <v>37</v>
      </c>
      <c r="D30" s="19">
        <f>+'FY16 excess gifts'!D30</f>
        <v>204000</v>
      </c>
      <c r="G30" s="22">
        <f>+D30</f>
        <v>204000</v>
      </c>
      <c r="H30" s="22"/>
      <c r="I30" s="22"/>
      <c r="J30" s="19"/>
      <c r="K30" s="19"/>
      <c r="L30" s="19"/>
    </row>
    <row r="31" spans="1:12" x14ac:dyDescent="0.25">
      <c r="A31" s="15" t="s">
        <v>31</v>
      </c>
      <c r="B31" s="18" t="s">
        <v>41</v>
      </c>
      <c r="D31" s="19">
        <f>+'FY16 excess gifts'!D31</f>
        <v>100000</v>
      </c>
      <c r="G31" s="22"/>
      <c r="H31" s="22">
        <f>+D31</f>
        <v>100000</v>
      </c>
      <c r="I31" s="22"/>
      <c r="J31" s="19"/>
      <c r="K31" s="19"/>
      <c r="L31" s="19"/>
    </row>
    <row r="32" spans="1:12" x14ac:dyDescent="0.25">
      <c r="A32" s="15" t="s">
        <v>31</v>
      </c>
      <c r="B32" s="18" t="s">
        <v>49</v>
      </c>
      <c r="D32" s="19">
        <v>100000</v>
      </c>
      <c r="G32" s="22"/>
      <c r="H32" s="22"/>
      <c r="I32" s="22">
        <f>+D32</f>
        <v>100000</v>
      </c>
      <c r="J32" s="70">
        <f>SUM(E28:I32)</f>
        <v>1032326</v>
      </c>
      <c r="K32" s="19">
        <f>IF(J32&gt;L$2,L$2,J32)</f>
        <v>242611.1</v>
      </c>
      <c r="L32" s="19">
        <f>IF(K32=L$2,J32-K32,0)</f>
        <v>789714.9</v>
      </c>
    </row>
    <row r="33" spans="1:12" x14ac:dyDescent="0.25">
      <c r="A33" s="15"/>
      <c r="B33" s="18"/>
      <c r="C33" s="18"/>
      <c r="D33" s="19"/>
      <c r="E33" s="20"/>
      <c r="F33" s="20"/>
      <c r="G33" s="22"/>
      <c r="H33" s="22"/>
      <c r="I33" s="22"/>
      <c r="J33" s="19"/>
      <c r="K33" s="19"/>
      <c r="L33" s="19"/>
    </row>
    <row r="34" spans="1:12" x14ac:dyDescent="0.25">
      <c r="A34" s="15" t="s">
        <v>34</v>
      </c>
      <c r="B34" s="18" t="s">
        <v>6</v>
      </c>
      <c r="C34" s="18"/>
      <c r="D34" s="19">
        <f>+'FY16 excess gifts'!D37</f>
        <v>24000</v>
      </c>
      <c r="E34" s="19">
        <f>+D34</f>
        <v>24000</v>
      </c>
      <c r="F34" s="19"/>
      <c r="G34" s="32"/>
      <c r="H34" s="32"/>
      <c r="I34" s="32"/>
    </row>
    <row r="35" spans="1:12" x14ac:dyDescent="0.25">
      <c r="A35" s="15" t="s">
        <v>34</v>
      </c>
      <c r="B35" s="18" t="s">
        <v>7</v>
      </c>
      <c r="C35" s="18"/>
      <c r="D35" s="19">
        <f>+'FY16 excess gifts'!D38</f>
        <v>0</v>
      </c>
      <c r="E35" s="19"/>
      <c r="F35" s="19">
        <f>+D35</f>
        <v>0</v>
      </c>
      <c r="G35" s="32"/>
      <c r="H35" s="32"/>
      <c r="I35" s="32"/>
    </row>
    <row r="36" spans="1:12" x14ac:dyDescent="0.25">
      <c r="A36" s="15" t="s">
        <v>34</v>
      </c>
      <c r="B36" s="18" t="s">
        <v>37</v>
      </c>
      <c r="C36" s="18"/>
      <c r="D36" s="19">
        <f>+'FY16 excess gifts'!D39</f>
        <v>165851</v>
      </c>
      <c r="E36" s="19"/>
      <c r="F36" s="19"/>
      <c r="G36" s="32">
        <f>+D36</f>
        <v>165851</v>
      </c>
      <c r="H36" s="32"/>
      <c r="I36" s="32"/>
      <c r="J36" s="19"/>
      <c r="K36" s="19"/>
      <c r="L36" s="19"/>
    </row>
    <row r="37" spans="1:12" x14ac:dyDescent="0.25">
      <c r="A37" s="15" t="s">
        <v>34</v>
      </c>
      <c r="B37" s="18" t="s">
        <v>41</v>
      </c>
      <c r="C37" s="18"/>
      <c r="D37" s="19">
        <f>+'FY16 excess gifts'!D40</f>
        <v>260000</v>
      </c>
      <c r="E37" s="19"/>
      <c r="F37" s="19"/>
      <c r="G37" s="32"/>
      <c r="H37" s="32">
        <f>+D37</f>
        <v>260000</v>
      </c>
      <c r="I37" s="32"/>
      <c r="J37" s="19"/>
      <c r="K37" s="19"/>
      <c r="L37" s="19"/>
    </row>
    <row r="38" spans="1:12" x14ac:dyDescent="0.25">
      <c r="A38" s="15" t="s">
        <v>34</v>
      </c>
      <c r="B38" s="18" t="s">
        <v>49</v>
      </c>
      <c r="C38" s="18"/>
      <c r="D38" s="19">
        <v>220000</v>
      </c>
      <c r="E38" s="19"/>
      <c r="F38" s="19"/>
      <c r="G38" s="32"/>
      <c r="H38" s="32"/>
      <c r="I38" s="32">
        <f>+D38</f>
        <v>220000</v>
      </c>
      <c r="J38" s="70">
        <f>SUM(E34:I38)</f>
        <v>669851</v>
      </c>
      <c r="K38" s="19">
        <f>IF(J38&gt;L$2,L$2,J38)</f>
        <v>242611.1</v>
      </c>
      <c r="L38" s="19">
        <f>IF(K38=L$2,J38-K38,0)</f>
        <v>427239.9</v>
      </c>
    </row>
    <row r="39" spans="1:12" x14ac:dyDescent="0.25">
      <c r="A39" s="15"/>
      <c r="B39" s="18"/>
      <c r="C39" s="18"/>
      <c r="D39" s="19"/>
      <c r="E39" s="19"/>
      <c r="F39" s="19"/>
      <c r="G39" s="32"/>
      <c r="H39" s="32"/>
      <c r="I39" s="32"/>
      <c r="J39" s="19"/>
      <c r="K39" s="19"/>
      <c r="L39" s="19"/>
    </row>
    <row r="40" spans="1:12" x14ac:dyDescent="0.25">
      <c r="A40" s="15" t="s">
        <v>43</v>
      </c>
      <c r="B40" s="18" t="s">
        <v>41</v>
      </c>
      <c r="C40" s="18"/>
      <c r="D40" s="19">
        <v>350000</v>
      </c>
      <c r="E40" s="19"/>
      <c r="F40" s="19"/>
      <c r="G40" s="32"/>
      <c r="H40" s="32">
        <v>350000</v>
      </c>
      <c r="I40" s="32"/>
      <c r="J40" s="70">
        <f>SUM(E40:H40)</f>
        <v>350000</v>
      </c>
      <c r="K40" s="19">
        <f>IF(J40&gt;L$2,L$2,J40)</f>
        <v>242611.1</v>
      </c>
      <c r="L40" s="19">
        <f>IF(K40=L$2,J40-K40,0)</f>
        <v>107388.9</v>
      </c>
    </row>
    <row r="41" spans="1:12" x14ac:dyDescent="0.25">
      <c r="A41" s="15"/>
      <c r="B41" s="18"/>
      <c r="C41" s="18"/>
      <c r="D41" s="19"/>
      <c r="E41" s="19"/>
      <c r="F41" s="19"/>
      <c r="G41" s="32"/>
      <c r="H41" s="32"/>
      <c r="I41" s="32"/>
      <c r="J41" s="19"/>
      <c r="K41" s="19"/>
      <c r="L41" s="19"/>
    </row>
    <row r="42" spans="1:12" x14ac:dyDescent="0.25">
      <c r="A42" s="16"/>
      <c r="B42" s="18"/>
      <c r="C42" s="18"/>
      <c r="D42" s="27"/>
      <c r="E42" s="27"/>
      <c r="F42" s="27"/>
      <c r="G42" s="33"/>
      <c r="H42" s="33"/>
      <c r="I42" s="33"/>
      <c r="J42" s="27"/>
      <c r="K42" s="27"/>
      <c r="L42" s="27"/>
    </row>
    <row r="43" spans="1:12" x14ac:dyDescent="0.25">
      <c r="A43" s="16"/>
      <c r="B43" s="18"/>
      <c r="C43" s="18"/>
      <c r="D43" s="19">
        <f t="shared" ref="D43:L43" si="0">SUM(D4:D42)</f>
        <v>6509644.3499999996</v>
      </c>
      <c r="E43" s="19">
        <f t="shared" si="0"/>
        <v>1656383.85</v>
      </c>
      <c r="F43" s="19">
        <f t="shared" si="0"/>
        <v>1153973.75</v>
      </c>
      <c r="G43" s="32">
        <f t="shared" si="0"/>
        <v>1102505</v>
      </c>
      <c r="H43" s="32">
        <f t="shared" si="0"/>
        <v>1583244</v>
      </c>
      <c r="I43" s="32">
        <f t="shared" si="0"/>
        <v>1013512</v>
      </c>
      <c r="J43" s="19">
        <f t="shared" si="0"/>
        <v>6509618.5999999996</v>
      </c>
      <c r="K43" s="19">
        <f t="shared" si="0"/>
        <v>1698277.7000000002</v>
      </c>
      <c r="L43" s="19">
        <f t="shared" si="0"/>
        <v>4811340.9000000004</v>
      </c>
    </row>
    <row r="44" spans="1:12" x14ac:dyDescent="0.25">
      <c r="D44" s="45"/>
      <c r="I44" s="45"/>
    </row>
    <row r="45" spans="1:12" x14ac:dyDescent="0.25">
      <c r="E45" s="45">
        <f>+E43-'FY16 excess gifts'!F49</f>
        <v>-22500</v>
      </c>
      <c r="F45" s="45">
        <f>+F43-'FY16 excess gifts'!G49</f>
        <v>-175000</v>
      </c>
      <c r="G45" s="45">
        <f>+G43-'FY16 excess gifts'!H49</f>
        <v>0</v>
      </c>
      <c r="H45" s="45">
        <f>+H43-'FY16 excess gifts'!I49</f>
        <v>0</v>
      </c>
      <c r="I45" s="45"/>
      <c r="K45" t="s">
        <v>51</v>
      </c>
      <c r="L45" s="48">
        <v>4784092</v>
      </c>
    </row>
    <row r="46" spans="1:12" x14ac:dyDescent="0.25">
      <c r="E46" t="s">
        <v>52</v>
      </c>
      <c r="F46" t="s">
        <v>52</v>
      </c>
    </row>
    <row r="47" spans="1:12" x14ac:dyDescent="0.25">
      <c r="K47" t="s">
        <v>53</v>
      </c>
      <c r="L47" s="58">
        <f>+L43-L45</f>
        <v>27248.900000000373</v>
      </c>
    </row>
    <row r="48" spans="1:12" x14ac:dyDescent="0.25">
      <c r="G48" s="22"/>
    </row>
    <row r="49" spans="1:7" x14ac:dyDescent="0.25">
      <c r="A49" t="s">
        <v>44</v>
      </c>
      <c r="G49" s="22"/>
    </row>
    <row r="50" spans="1:7" x14ac:dyDescent="0.25">
      <c r="A50" t="s">
        <v>54</v>
      </c>
      <c r="B50" s="45">
        <f>+'FY16 excess gifts'!J49</f>
        <v>7411310.6699999999</v>
      </c>
      <c r="G50" s="22"/>
    </row>
    <row r="51" spans="1:7" x14ac:dyDescent="0.25">
      <c r="A51" t="s">
        <v>55</v>
      </c>
      <c r="B51" s="45">
        <f>-'FY16 excess gifts'!E49</f>
        <v>-1717704.07</v>
      </c>
      <c r="G51" s="22"/>
    </row>
    <row r="52" spans="1:7" x14ac:dyDescent="0.25">
      <c r="A52" t="s">
        <v>56</v>
      </c>
      <c r="B52" s="77">
        <f>+I43</f>
        <v>1013512</v>
      </c>
      <c r="G52" s="22"/>
    </row>
    <row r="53" spans="1:7" x14ac:dyDescent="0.25">
      <c r="B53" s="45">
        <f>SUM(B50:B52)</f>
        <v>6707118.5999999996</v>
      </c>
      <c r="G53" s="22"/>
    </row>
    <row r="54" spans="1:7" x14ac:dyDescent="0.25">
      <c r="B54" s="45">
        <f>+B53-J43</f>
        <v>197500</v>
      </c>
      <c r="G54" s="22"/>
    </row>
    <row r="55" spans="1:7" x14ac:dyDescent="0.25">
      <c r="G55" s="24"/>
    </row>
    <row r="56" spans="1:7" x14ac:dyDescent="0.25">
      <c r="G56" s="22"/>
    </row>
    <row r="57" spans="1:7" x14ac:dyDescent="0.25">
      <c r="G57" s="22"/>
    </row>
    <row r="58" spans="1:7" x14ac:dyDescent="0.25">
      <c r="G58" s="22"/>
    </row>
    <row r="59" spans="1:7" x14ac:dyDescent="0.25">
      <c r="G59" s="22"/>
    </row>
    <row r="60" spans="1:7" x14ac:dyDescent="0.25">
      <c r="G60" s="22"/>
    </row>
    <row r="61" spans="1:7" x14ac:dyDescent="0.25">
      <c r="G61" s="22"/>
    </row>
    <row r="62" spans="1:7" x14ac:dyDescent="0.25">
      <c r="G62" s="24"/>
    </row>
    <row r="63" spans="1:7" x14ac:dyDescent="0.25">
      <c r="G63" s="22"/>
    </row>
    <row r="64" spans="1:7" x14ac:dyDescent="0.25">
      <c r="G64" s="22"/>
    </row>
    <row r="65" spans="7:7" x14ac:dyDescent="0.25">
      <c r="G65" s="22"/>
    </row>
    <row r="66" spans="7:7" x14ac:dyDescent="0.25">
      <c r="G66" s="22"/>
    </row>
    <row r="67" spans="7:7" x14ac:dyDescent="0.25">
      <c r="G67" s="22"/>
    </row>
    <row r="68" spans="7:7" x14ac:dyDescent="0.25">
      <c r="G68" s="22"/>
    </row>
    <row r="69" spans="7:7" x14ac:dyDescent="0.25">
      <c r="G69" s="22"/>
    </row>
    <row r="70" spans="7:7" x14ac:dyDescent="0.25">
      <c r="G70" s="22"/>
    </row>
    <row r="71" spans="7:7" x14ac:dyDescent="0.25">
      <c r="G71" s="22"/>
    </row>
    <row r="72" spans="7:7" x14ac:dyDescent="0.25">
      <c r="G72" s="22"/>
    </row>
    <row r="73" spans="7:7" x14ac:dyDescent="0.25">
      <c r="G73" s="22"/>
    </row>
    <row r="74" spans="7:7" x14ac:dyDescent="0.25">
      <c r="G74" s="22"/>
    </row>
    <row r="75" spans="7:7" x14ac:dyDescent="0.25">
      <c r="G75" s="22"/>
    </row>
    <row r="76" spans="7:7" x14ac:dyDescent="0.25">
      <c r="G76" s="22"/>
    </row>
    <row r="77" spans="7:7" x14ac:dyDescent="0.25">
      <c r="G77" s="32"/>
    </row>
    <row r="78" spans="7:7" x14ac:dyDescent="0.25">
      <c r="G78" s="32"/>
    </row>
    <row r="79" spans="7:7" x14ac:dyDescent="0.25">
      <c r="G79" s="32"/>
    </row>
    <row r="80" spans="7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</sheetData>
  <pageMargins left="0.7" right="0.7" top="0.75" bottom="0.75" header="0.3" footer="0.3"/>
  <pageSetup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G20" sqref="G20"/>
    </sheetView>
  </sheetViews>
  <sheetFormatPr defaultRowHeight="15" x14ac:dyDescent="0.25"/>
  <cols>
    <col min="1" max="1" width="19.5703125" bestFit="1" customWidth="1"/>
    <col min="2" max="5" width="13.42578125" bestFit="1" customWidth="1"/>
    <col min="6" max="6" width="13.42578125" customWidth="1"/>
    <col min="7" max="7" width="14" bestFit="1" customWidth="1"/>
    <col min="8" max="8" width="22.85546875" bestFit="1" customWidth="1"/>
    <col min="10" max="10" width="13.5703125" bestFit="1" customWidth="1"/>
  </cols>
  <sheetData>
    <row r="1" spans="1:10" ht="15.75" x14ac:dyDescent="0.25">
      <c r="A1" s="1"/>
      <c r="B1" s="1"/>
      <c r="C1" s="2" t="s">
        <v>0</v>
      </c>
      <c r="D1" s="38"/>
      <c r="E1" s="38"/>
      <c r="F1" s="38"/>
      <c r="G1" s="1"/>
    </row>
    <row r="2" spans="1:10" ht="15.75" x14ac:dyDescent="0.25">
      <c r="A2" s="1"/>
      <c r="B2" s="1"/>
      <c r="C2" s="3" t="s">
        <v>57</v>
      </c>
      <c r="D2" s="38"/>
      <c r="E2" s="38"/>
      <c r="F2" s="38"/>
      <c r="G2" s="1"/>
    </row>
    <row r="3" spans="1:10" x14ac:dyDescent="0.25">
      <c r="A3" s="1"/>
      <c r="B3" s="1"/>
      <c r="C3" s="1"/>
      <c r="D3" s="38"/>
      <c r="E3" s="38"/>
      <c r="F3" s="38"/>
      <c r="G3" s="1"/>
    </row>
    <row r="4" spans="1:10" x14ac:dyDescent="0.25">
      <c r="A4" s="1"/>
      <c r="B4" s="4">
        <v>2013</v>
      </c>
      <c r="C4" s="4">
        <v>2014</v>
      </c>
      <c r="D4" s="54">
        <v>2015</v>
      </c>
      <c r="E4" s="50">
        <v>2016</v>
      </c>
      <c r="F4" s="50">
        <v>2017</v>
      </c>
      <c r="G4" s="4" t="s">
        <v>2</v>
      </c>
    </row>
    <row r="5" spans="1:10" x14ac:dyDescent="0.25">
      <c r="A5" s="1"/>
      <c r="B5" s="4" t="s">
        <v>7</v>
      </c>
      <c r="C5" s="4" t="s">
        <v>37</v>
      </c>
      <c r="D5" s="54" t="s">
        <v>41</v>
      </c>
      <c r="E5" s="50" t="s">
        <v>49</v>
      </c>
      <c r="F5" s="50" t="s">
        <v>58</v>
      </c>
      <c r="G5" s="1"/>
    </row>
    <row r="6" spans="1:10" x14ac:dyDescent="0.25">
      <c r="A6" s="1"/>
      <c r="B6" s="1"/>
      <c r="C6" s="1"/>
      <c r="D6" s="55"/>
      <c r="E6" s="51"/>
      <c r="F6" s="51"/>
      <c r="G6" s="1"/>
    </row>
    <row r="7" spans="1:10" x14ac:dyDescent="0.25">
      <c r="A7" s="1" t="s">
        <v>8</v>
      </c>
      <c r="B7" s="34">
        <v>1529495.75</v>
      </c>
      <c r="C7" s="36">
        <v>1640170</v>
      </c>
      <c r="D7" s="52">
        <f>+'FY16 sched A'!F7</f>
        <v>2083086</v>
      </c>
      <c r="E7" s="52">
        <f>+'FY17 sched A'!F7</f>
        <v>1858634</v>
      </c>
      <c r="F7" s="52">
        <v>2125041</v>
      </c>
      <c r="G7" s="6">
        <f>SUM(B7:F7)</f>
        <v>9236426.75</v>
      </c>
      <c r="H7" s="53"/>
      <c r="J7" s="45"/>
    </row>
    <row r="8" spans="1:10" x14ac:dyDescent="0.25">
      <c r="A8" s="1"/>
      <c r="B8" s="6"/>
      <c r="C8" s="28"/>
      <c r="D8" s="56"/>
      <c r="E8" s="28"/>
      <c r="F8" s="28"/>
      <c r="G8" s="5"/>
      <c r="J8" s="46"/>
    </row>
    <row r="9" spans="1:10" x14ac:dyDescent="0.25">
      <c r="A9" s="1" t="s">
        <v>9</v>
      </c>
      <c r="B9" s="6"/>
      <c r="C9" s="28"/>
      <c r="D9" s="56"/>
      <c r="E9" s="28"/>
      <c r="F9" s="28"/>
      <c r="G9" s="6">
        <f>+'FY18 excess gifts'!L52</f>
        <v>4400525.3900000006</v>
      </c>
    </row>
    <row r="10" spans="1:10" x14ac:dyDescent="0.25">
      <c r="A10" s="1"/>
      <c r="B10" s="6"/>
      <c r="C10" s="28"/>
      <c r="D10" s="56"/>
      <c r="E10" s="28"/>
      <c r="F10" s="28"/>
      <c r="G10" s="5"/>
    </row>
    <row r="11" spans="1:10" x14ac:dyDescent="0.25">
      <c r="A11" s="1" t="s">
        <v>10</v>
      </c>
      <c r="B11" s="6"/>
      <c r="C11" s="28"/>
      <c r="D11" s="56"/>
      <c r="E11" s="28"/>
      <c r="F11" s="28"/>
      <c r="G11" s="7">
        <f>+G7-G9</f>
        <v>4835901.3599999994</v>
      </c>
      <c r="H11" s="45"/>
    </row>
    <row r="12" spans="1:10" x14ac:dyDescent="0.25">
      <c r="A12" s="1"/>
      <c r="B12" s="5"/>
      <c r="C12" s="29"/>
      <c r="D12" s="57"/>
      <c r="E12" s="29"/>
      <c r="F12" s="29"/>
      <c r="G12" s="5"/>
    </row>
    <row r="13" spans="1:10" x14ac:dyDescent="0.25">
      <c r="A13" s="1" t="s">
        <v>11</v>
      </c>
      <c r="B13" s="5">
        <f t="shared" ref="B13:C13" si="0">+B7</f>
        <v>1529495.75</v>
      </c>
      <c r="C13" s="29">
        <f t="shared" si="0"/>
        <v>1640170</v>
      </c>
      <c r="D13" s="56">
        <f>+D7</f>
        <v>2083086</v>
      </c>
      <c r="E13" s="28">
        <f>+E7</f>
        <v>1858634</v>
      </c>
      <c r="F13" s="28">
        <f>+F7</f>
        <v>2125041</v>
      </c>
      <c r="G13" s="5">
        <f>SUM(B13:F13)</f>
        <v>9236426.75</v>
      </c>
    </row>
    <row r="14" spans="1:10" x14ac:dyDescent="0.25">
      <c r="A14" s="1"/>
      <c r="B14" s="5"/>
      <c r="C14" s="29"/>
      <c r="D14" s="57"/>
      <c r="E14" s="29"/>
      <c r="F14" s="29"/>
      <c r="G14" s="5"/>
    </row>
    <row r="15" spans="1:10" x14ac:dyDescent="0.25">
      <c r="A15" s="1" t="s">
        <v>12</v>
      </c>
      <c r="B15" s="5">
        <v>454140</v>
      </c>
      <c r="C15" s="29">
        <v>501147</v>
      </c>
      <c r="D15" s="57">
        <f>+'FY16 sched A'!F15</f>
        <v>442593</v>
      </c>
      <c r="E15" s="29">
        <f>+'FY17 sched A'!F15</f>
        <v>568444</v>
      </c>
      <c r="F15" s="29">
        <v>697096</v>
      </c>
      <c r="G15" s="8">
        <f>SUM(B15:F15)</f>
        <v>2663420</v>
      </c>
    </row>
    <row r="16" spans="1:10" x14ac:dyDescent="0.25">
      <c r="A16" s="1"/>
      <c r="B16" s="5"/>
      <c r="C16" s="5"/>
      <c r="D16" s="41"/>
      <c r="E16" s="41"/>
      <c r="F16" s="41"/>
      <c r="G16" s="5"/>
    </row>
    <row r="17" spans="1:7" x14ac:dyDescent="0.25">
      <c r="A17" s="1" t="s">
        <v>13</v>
      </c>
      <c r="B17" s="5"/>
      <c r="C17" s="5"/>
      <c r="D17" s="41"/>
      <c r="E17" s="41"/>
      <c r="F17" s="41"/>
      <c r="G17" s="9">
        <f>SUM(B13:F15)</f>
        <v>11899846.75</v>
      </c>
    </row>
    <row r="18" spans="1:7" x14ac:dyDescent="0.25">
      <c r="A18" s="1" t="s">
        <v>15</v>
      </c>
      <c r="B18" s="5"/>
      <c r="C18" s="5"/>
      <c r="D18" s="41"/>
      <c r="E18" s="41"/>
      <c r="F18" s="41"/>
      <c r="G18" s="5">
        <f>+G17*0.02</f>
        <v>237996.935</v>
      </c>
    </row>
    <row r="19" spans="1:7" x14ac:dyDescent="0.25">
      <c r="A19" s="1"/>
      <c r="B19" s="5"/>
      <c r="C19" s="5"/>
      <c r="D19" s="41"/>
      <c r="E19" s="41"/>
      <c r="F19" s="41"/>
      <c r="G19" s="5"/>
    </row>
    <row r="20" spans="1:7" x14ac:dyDescent="0.25">
      <c r="A20" s="1" t="s">
        <v>16</v>
      </c>
      <c r="B20" s="5"/>
      <c r="C20" s="5"/>
      <c r="D20" s="41"/>
      <c r="E20" s="41"/>
      <c r="F20" s="41"/>
      <c r="G20" s="10">
        <f>+G11/G17</f>
        <v>0.40638349901438853</v>
      </c>
    </row>
    <row r="21" spans="1:7" x14ac:dyDescent="0.25">
      <c r="A21" s="1"/>
      <c r="C21" s="5"/>
      <c r="D21" s="41"/>
      <c r="E21" s="41"/>
      <c r="F21" s="41"/>
      <c r="G21" s="5"/>
    </row>
    <row r="22" spans="1:7" x14ac:dyDescent="0.25">
      <c r="A22" s="1"/>
      <c r="B22" t="s">
        <v>59</v>
      </c>
      <c r="C22" s="11">
        <f>+'FY17 sched A'!G20</f>
        <v>0.38375158873609949</v>
      </c>
      <c r="D22" s="41"/>
      <c r="E22" s="41"/>
      <c r="F22" s="41"/>
      <c r="G22" s="5"/>
    </row>
    <row r="23" spans="1:7" x14ac:dyDescent="0.25">
      <c r="A23" s="1"/>
      <c r="B23" t="s">
        <v>50</v>
      </c>
      <c r="C23" s="44">
        <f>+'FY16 sched A'!G20</f>
        <v>0.39761149543575552</v>
      </c>
      <c r="D23" s="42"/>
      <c r="E23" s="42"/>
      <c r="F23" s="42"/>
      <c r="G23" s="5"/>
    </row>
    <row r="24" spans="1:7" x14ac:dyDescent="0.25">
      <c r="A24" s="1"/>
      <c r="B24" t="s">
        <v>42</v>
      </c>
      <c r="C24" s="44">
        <v>0.39350000000000002</v>
      </c>
      <c r="D24" s="41"/>
      <c r="E24" s="41"/>
      <c r="F24" s="41"/>
      <c r="G24" s="5"/>
    </row>
    <row r="25" spans="1:7" x14ac:dyDescent="0.25">
      <c r="B25" s="5" t="s">
        <v>39</v>
      </c>
      <c r="C25" s="11">
        <v>0.39360000000000001</v>
      </c>
      <c r="D25" s="37"/>
      <c r="E25" s="37"/>
      <c r="F25" s="37"/>
    </row>
    <row r="26" spans="1:7" x14ac:dyDescent="0.25">
      <c r="B26" s="5" t="s">
        <v>17</v>
      </c>
      <c r="C26" s="11">
        <v>0.39019999999999999</v>
      </c>
      <c r="D26" s="37"/>
      <c r="E26" s="37"/>
      <c r="F26" s="37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ACDAAA-DD21-4004-9F5D-6CDB9ACBCC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74F0A6-3D9E-44C9-844D-6097284B4D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F5832-0FDA-4ED0-A755-D0F7069B0465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FY14 sched A</vt:lpstr>
      <vt:lpstr>FY14 excess gifts</vt:lpstr>
      <vt:lpstr>FY15 sched A w Given</vt:lpstr>
      <vt:lpstr>FY15 excess gifts with Given</vt:lpstr>
      <vt:lpstr>FY16 sched A</vt:lpstr>
      <vt:lpstr>FY16 excess gifts</vt:lpstr>
      <vt:lpstr>FY17 sched A</vt:lpstr>
      <vt:lpstr>FY17 excess gifts</vt:lpstr>
      <vt:lpstr>FY18 sched A</vt:lpstr>
      <vt:lpstr>FY18 excess gifts</vt:lpstr>
      <vt:lpstr>FY19 sched A</vt:lpstr>
      <vt:lpstr>FY19 excess gifts</vt:lpstr>
      <vt:lpstr>FY20 sched A</vt:lpstr>
      <vt:lpstr>FY20 excess gifts</vt:lpstr>
      <vt:lpstr>FY21 sched A</vt:lpstr>
      <vt:lpstr>FY21 excess gifts</vt:lpstr>
      <vt:lpstr>FY22 sched A</vt:lpstr>
      <vt:lpstr>FY22 excess gifts</vt:lpstr>
      <vt:lpstr>FY23 sched A</vt:lpstr>
      <vt:lpstr>FY23 excess gifts</vt:lpstr>
      <vt:lpstr>Sheet1</vt:lpstr>
      <vt:lpstr>'FY15 sched A w Given'!Print_Area</vt:lpstr>
      <vt:lpstr>'FY16 excess gifts'!Print_Area</vt:lpstr>
      <vt:lpstr>'FY17 excess gifts'!Print_Area</vt:lpstr>
      <vt:lpstr>'FY17 sched A'!Print_Area</vt:lpstr>
      <vt:lpstr>'FY18 excess gifts'!Print_Area</vt:lpstr>
      <vt:lpstr>'FY18 sched A'!Print_Area</vt:lpstr>
      <vt:lpstr>'FY23 excess gifts'!Print_Area</vt:lpstr>
      <vt:lpstr>'FY23 sched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K. Tison</dc:creator>
  <cp:keywords/>
  <dc:description/>
  <cp:lastModifiedBy>Meredith Davidson</cp:lastModifiedBy>
  <cp:revision/>
  <dcterms:created xsi:type="dcterms:W3CDTF">2016-01-26T01:06:59Z</dcterms:created>
  <dcterms:modified xsi:type="dcterms:W3CDTF">2019-07-26T19:52:10Z</dcterms:modified>
  <cp:category/>
  <cp:contentStatus/>
</cp:coreProperties>
</file>